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nMEwlj+VHLUk3LRAMnhubmWg0Z0FRmTKsjjHUH1+ym4tmOo00lGBS9NMzGcf5RDUhS66zpDxNbkNtu3+vU1Fsw==" workbookSaltValue="lx66jOQcYt/xS/CJk1my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Y32" i="20"/>
  <c r="L32" i="20"/>
  <c r="H32" i="20"/>
  <c r="F32" i="20"/>
  <c r="G26" i="14"/>
  <c r="S32" i="20"/>
  <c r="AQ32" i="21"/>
  <c r="AJ32" i="20"/>
  <c r="G30" i="14"/>
  <c r="AX32" i="20"/>
  <c r="AG32" i="20"/>
  <c r="T32" i="21"/>
  <c r="AF32" i="20"/>
  <c r="K32" i="20"/>
  <c r="O17" i="11"/>
  <c r="BF17" i="8" l="1"/>
  <c r="H28" i="2"/>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<sst xmlns="http://schemas.openxmlformats.org/spreadsheetml/2006/main" count="2682" uniqueCount="1193">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</sst>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P3RWPc7oJYMVVgeY5Ai5QLgPmOZAK5Xmk+zypOagwv3+5smjJrkXsokuWNuxVL85Ta1m03Xm6rFpjCA5ds50A==" saltValue="a9mbcgAaUrdv1dyMp4ur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3</v>
      </c>
      <c r="F10" s="240">
        <f>IF(ISNUMBER(Datos!K10),Datos!K10," - ")</f>
        <v>2</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0.04</v>
      </c>
      <c r="L10" s="1402">
        <f>IF(ISNUMBER(NºAsuntos!I10/NºAsuntos!G10),(NºAsuntos!I10/NºAsuntos!G10)*11," - ")</f>
        <v>143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20.074074074074073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1177</v>
      </c>
      <c r="D17" s="239">
        <f>IF(ISNUMBER(IF(D_I="SI",Datos!I17,Datos!I17+Datos!AC17)),IF(D_I="SI",Datos!I17,Datos!I17+Datos!AC17)," - ")</f>
        <v>1160</v>
      </c>
      <c r="E17" s="240">
        <f>IF(ISNUMBER(IF(D_I="SI",Datos!J17,Datos!J17+Datos!AD17)),IF(D_I="SI",Datos!J17,Datos!J17+Datos!AD17)," - ")</f>
        <v>1119</v>
      </c>
      <c r="F17" s="240">
        <f>IF(ISNUMBER(IF(D_I="SI",Datos!K17,Datos!K17+Datos!AE17)),IF(D_I="SI",Datos!K17,Datos!K17+Datos!AE17)," - ")</f>
        <v>1119</v>
      </c>
      <c r="G17" s="1390" t="str">
        <f>IF(Datos!E17&lt;&gt;"",Datos!E17,Datos!D17)</f>
        <v>04</v>
      </c>
      <c r="H17" s="241">
        <f>IF(ISNUMBER(IF(D_I="SI",Datos!L17,Datos!L17+Datos!AF17)),IF(D_I="SI",Datos!L17,Datos!L17+Datos!AF17)," - ")</f>
        <v>1177</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11.570151921358356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64</v>
      </c>
      <c r="F18" s="240">
        <f>IF(ISNUMBER(IF(D_I="SI",Datos!K18,Datos!K18+Datos!AE18)),IF(D_I="SI",Datos!K18,Datos!K18+Datos!AE18)," - ")</f>
        <v>65</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-2.0408163265306121E-2</v>
      </c>
      <c r="L18" s="1402">
        <f>IF(ISNUMBER(NºAsuntos!I18/NºAsuntos!G18),(NºAsuntos!I18/NºAsuntos!G18)*11," - ")</f>
        <v>8.1230769230769226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1226</v>
      </c>
      <c r="D23" s="1407">
        <f>SUBTOTAL(9,D16:D22)</f>
        <v>1209</v>
      </c>
      <c r="E23" s="1408">
        <f>SUBTOTAL(9,E16:E22)</f>
        <v>1183</v>
      </c>
      <c r="F23" s="1408">
        <f>SUBTOTAL(9,F16:F22)</f>
        <v>1184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1251</v>
      </c>
      <c r="D31" s="1435">
        <f>SUBTOTAL(9,D9:D30)</f>
        <v>1234</v>
      </c>
      <c r="E31" s="1436">
        <f>SUBTOTAL(9,E9:E30)</f>
        <v>1186</v>
      </c>
      <c r="F31" s="1436">
        <f>SUBTOTAL(9,F9:F30)</f>
        <v>1186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LCymyer275rUhLmNrUMhK+UmPv+cfMmnIruYnL6KYcQiczmuT2bVJvlby9KcddTLUCibNInRja18djnQacl8g==" saltValue="X0zpVL1tXH/EGxRbrq0J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65u3mgEx3g84YxNmE19r947mRFNwOQrFaruEurYgOg+l/PBerdKDko4xTab5BLa4Qg8pKVyJ3kb6IyXPD3C4w==" saltValue="oKySRl/fPUYxPTbP5drQ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3</v>
      </c>
      <c r="K10" s="194">
        <v>2</v>
      </c>
      <c r="L10" s="194">
        <v>26</v>
      </c>
      <c r="M10" s="194">
        <v>2</v>
      </c>
      <c r="N10" s="194">
        <v>0</v>
      </c>
      <c r="O10" s="194">
        <v>0</v>
      </c>
      <c r="P10" s="194">
        <v>0</v>
      </c>
      <c r="Q10" s="194">
        <v>0</v>
      </c>
      <c r="R10" s="194">
        <v>0</v>
      </c>
      <c r="S10" s="194">
        <v>13</v>
      </c>
      <c r="T10" s="194">
        <v>2</v>
      </c>
      <c r="U10" s="194">
        <v>4</v>
      </c>
      <c r="V10" s="194">
        <v>11</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v>
      </c>
      <c r="BA10" s="139">
        <f t="shared" si="0"/>
        <v>4</v>
      </c>
      <c r="BB10" s="139">
        <f t="shared" si="0"/>
        <v>11</v>
      </c>
      <c r="BC10" s="135">
        <f t="shared" si="0"/>
        <v>4</v>
      </c>
      <c r="BD10" s="136">
        <f>IF(ISNUMBER(BA10/AZ10),BA10/AZ10," - ")</f>
        <v>2</v>
      </c>
      <c r="BE10" s="137">
        <f>IF(ISNUMBER(BB10/BA10),BB10/BA10, " - ")</f>
        <v>2.75</v>
      </c>
      <c r="BF10" s="137">
        <f>IF(ISNUMBER(BC10/BA10),BC10/BA10, " - ")</f>
        <v>1</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999</v>
      </c>
      <c r="J12" s="196">
        <v>560</v>
      </c>
      <c r="K12" s="196">
        <v>523</v>
      </c>
      <c r="L12" s="196">
        <v>1036</v>
      </c>
      <c r="M12" s="196">
        <v>148</v>
      </c>
      <c r="N12" s="196">
        <v>166</v>
      </c>
      <c r="O12" s="194">
        <v>275</v>
      </c>
      <c r="P12" s="196">
        <v>132</v>
      </c>
      <c r="Q12" s="196">
        <v>292</v>
      </c>
      <c r="R12" s="196">
        <v>1261</v>
      </c>
      <c r="S12" s="196">
        <v>1007</v>
      </c>
      <c r="T12" s="196">
        <v>560</v>
      </c>
      <c r="U12" s="196">
        <v>558</v>
      </c>
      <c r="V12" s="196">
        <v>1009</v>
      </c>
      <c r="W12" s="196">
        <v>194</v>
      </c>
      <c r="X12" s="202">
        <v>226</v>
      </c>
      <c r="Y12" s="204">
        <v>68</v>
      </c>
      <c r="Z12" s="194">
        <v>51</v>
      </c>
      <c r="AA12" s="194">
        <v>71</v>
      </c>
      <c r="AB12" s="194">
        <v>48</v>
      </c>
      <c r="AC12" s="196">
        <v>0</v>
      </c>
      <c r="AD12" s="196">
        <v>0</v>
      </c>
      <c r="AE12" s="196">
        <v>0</v>
      </c>
      <c r="AF12" s="202">
        <v>0</v>
      </c>
      <c r="AG12" s="215">
        <v>53</v>
      </c>
      <c r="AH12" s="196">
        <v>100</v>
      </c>
      <c r="AI12" s="196">
        <v>66</v>
      </c>
      <c r="AJ12" s="216">
        <v>87</v>
      </c>
      <c r="AK12" s="195">
        <v>0</v>
      </c>
      <c r="AL12" s="196">
        <v>0</v>
      </c>
      <c r="AM12" s="196">
        <v>0</v>
      </c>
      <c r="AN12" s="202">
        <v>0</v>
      </c>
      <c r="AO12" s="283">
        <v>5</v>
      </c>
      <c r="AP12" s="168">
        <v>5</v>
      </c>
      <c r="AQ12" s="168">
        <v>5</v>
      </c>
      <c r="AR12" s="167">
        <v>5</v>
      </c>
      <c r="AS12" s="381" t="s">
        <v>1075</v>
      </c>
      <c r="AT12" s="216"/>
      <c r="AU12" s="215"/>
      <c r="AV12" s="216"/>
      <c r="AW12" s="215"/>
      <c r="AX12" s="216"/>
      <c r="AY12" s="136">
        <f t="shared" si="1"/>
        <v>1060</v>
      </c>
      <c r="AZ12" s="137">
        <f t="shared" si="1"/>
        <v>660</v>
      </c>
      <c r="BA12" s="137">
        <f t="shared" si="1"/>
        <v>624</v>
      </c>
      <c r="BB12" s="137">
        <f t="shared" si="1"/>
        <v>1096</v>
      </c>
      <c r="BC12" s="135">
        <f>IF(ISNUMBER(X12),X12," - ")</f>
        <v>226</v>
      </c>
      <c r="BD12" s="136">
        <f t="shared" si="2"/>
        <v>0.94545454545454544</v>
      </c>
      <c r="BE12" s="137">
        <f t="shared" si="3"/>
        <v>1.7564102564102564</v>
      </c>
      <c r="BF12" s="137">
        <f t="shared" si="4"/>
        <v>0.36217948717948717</v>
      </c>
      <c r="BG12" s="209">
        <f t="shared" si="5"/>
        <v>2.7564102564102564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1024</v>
      </c>
      <c r="J14" s="197">
        <f t="shared" si="7"/>
        <v>563</v>
      </c>
      <c r="K14" s="197">
        <f t="shared" si="7"/>
        <v>525</v>
      </c>
      <c r="L14" s="197">
        <f t="shared" si="7"/>
        <v>1062</v>
      </c>
      <c r="M14" s="197">
        <f t="shared" si="7"/>
        <v>150</v>
      </c>
      <c r="N14" s="197">
        <f t="shared" si="7"/>
        <v>166</v>
      </c>
      <c r="O14" s="197">
        <f t="shared" si="7"/>
        <v>275</v>
      </c>
      <c r="P14" s="197">
        <f t="shared" si="7"/>
        <v>132</v>
      </c>
      <c r="Q14" s="197">
        <f t="shared" si="7"/>
        <v>292</v>
      </c>
      <c r="R14" s="197">
        <f t="shared" si="7"/>
        <v>1261</v>
      </c>
      <c r="S14" s="197">
        <f t="shared" si="7"/>
        <v>1020</v>
      </c>
      <c r="T14" s="197">
        <f t="shared" si="7"/>
        <v>562</v>
      </c>
      <c r="U14" s="197">
        <f t="shared" si="7"/>
        <v>562</v>
      </c>
      <c r="V14" s="197">
        <f t="shared" si="7"/>
        <v>1020</v>
      </c>
      <c r="W14" s="197">
        <f t="shared" si="7"/>
        <v>198</v>
      </c>
      <c r="X14" s="197">
        <f t="shared" si="7"/>
        <v>226</v>
      </c>
      <c r="Y14" s="197">
        <f t="shared" si="7"/>
        <v>68</v>
      </c>
      <c r="Z14" s="197">
        <f t="shared" si="7"/>
        <v>51</v>
      </c>
      <c r="AA14" s="197">
        <f t="shared" si="7"/>
        <v>71</v>
      </c>
      <c r="AB14" s="197">
        <f t="shared" si="7"/>
        <v>48</v>
      </c>
      <c r="AC14" s="197">
        <f t="shared" si="7"/>
        <v>0</v>
      </c>
      <c r="AD14" s="197">
        <f t="shared" si="7"/>
        <v>0</v>
      </c>
      <c r="AE14" s="197">
        <f t="shared" si="7"/>
        <v>0</v>
      </c>
      <c r="AF14" s="197">
        <f>SUBTOTAL(9,AF9:AF13)</f>
        <v>0</v>
      </c>
      <c r="AG14" s="197">
        <f t="shared" ref="AG14:AT14" si="8">SUBTOTAL(9,AG8:AG13)</f>
        <v>53</v>
      </c>
      <c r="AH14" s="197">
        <f t="shared" si="8"/>
        <v>100</v>
      </c>
      <c r="AI14" s="197">
        <f t="shared" si="8"/>
        <v>66</v>
      </c>
      <c r="AJ14" s="197">
        <f t="shared" si="8"/>
        <v>87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1073</v>
      </c>
      <c r="AZ14" s="197">
        <f>SUBTOTAL(9,AZ8:AZ13)</f>
        <v>662</v>
      </c>
      <c r="BA14" s="197">
        <f>SUBTOTAL(9,BA8:BA13)</f>
        <v>628</v>
      </c>
      <c r="BB14" s="197">
        <f>SUBTOTAL(9,BB8:BB13)</f>
        <v>1107</v>
      </c>
      <c r="BC14" s="197">
        <f>SUBTOTAL(9,BC8:BC13)</f>
        <v>230</v>
      </c>
      <c r="BD14" s="219">
        <f>IF(ISNUMBER(BA14/AZ14),BA14/AZ14," - ")</f>
        <v>0.94864048338368578</v>
      </c>
      <c r="BE14" s="220">
        <f>IF(ISNUMBER(BB14/BA14),BB14/BA14, " - ")</f>
        <v>1.7627388535031847</v>
      </c>
      <c r="BF14" s="220">
        <f>IF(ISNUMBER(BC14/BA14),BC14/BA14, " - ")</f>
        <v>0.36624203821656048</v>
      </c>
      <c r="BG14" s="221">
        <f>IF(ISNUMBER((AY14+AZ14)/BA14),(AY14+AZ14)/BA14," - ")</f>
        <v>2.7627388535031847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1160</v>
      </c>
      <c r="J17" s="196">
        <v>1119</v>
      </c>
      <c r="K17" s="196">
        <v>1119</v>
      </c>
      <c r="L17" s="196">
        <v>1177</v>
      </c>
      <c r="M17" s="196">
        <v>202</v>
      </c>
      <c r="N17" s="196">
        <v>528</v>
      </c>
      <c r="O17" s="194">
        <v>0</v>
      </c>
      <c r="P17" s="196">
        <v>53</v>
      </c>
      <c r="Q17" s="196">
        <v>19</v>
      </c>
      <c r="R17" s="196">
        <v>195</v>
      </c>
      <c r="S17" s="196">
        <v>929</v>
      </c>
      <c r="T17" s="196">
        <v>1027</v>
      </c>
      <c r="U17" s="196">
        <v>991</v>
      </c>
      <c r="V17" s="196">
        <v>984</v>
      </c>
      <c r="W17" s="196">
        <v>169</v>
      </c>
      <c r="X17" s="202">
        <v>548</v>
      </c>
      <c r="Y17" s="215">
        <v>0</v>
      </c>
      <c r="Z17" s="196">
        <v>0</v>
      </c>
      <c r="AA17" s="196">
        <v>0</v>
      </c>
      <c r="AB17" s="196">
        <v>0</v>
      </c>
      <c r="AC17" s="196">
        <v>28</v>
      </c>
      <c r="AD17" s="196">
        <v>49</v>
      </c>
      <c r="AE17" s="196">
        <v>50</v>
      </c>
      <c r="AF17" s="202">
        <v>27</v>
      </c>
      <c r="AG17" s="215">
        <v>0</v>
      </c>
      <c r="AH17" s="196">
        <v>0</v>
      </c>
      <c r="AI17" s="196">
        <v>0</v>
      </c>
      <c r="AJ17" s="216">
        <v>0</v>
      </c>
      <c r="AK17" s="195">
        <v>0</v>
      </c>
      <c r="AL17" s="196">
        <v>46</v>
      </c>
      <c r="AM17" s="196">
        <v>41</v>
      </c>
      <c r="AN17" s="202">
        <v>5</v>
      </c>
      <c r="AO17" s="283">
        <v>5</v>
      </c>
      <c r="AP17" s="168">
        <v>5</v>
      </c>
      <c r="AQ17" s="168">
        <v>5</v>
      </c>
      <c r="AR17" s="168">
        <v>5</v>
      </c>
      <c r="AS17" s="381" t="s">
        <v>650</v>
      </c>
      <c r="AT17" s="216"/>
      <c r="AU17" s="215"/>
      <c r="AV17" s="216"/>
      <c r="AW17" s="215"/>
      <c r="AX17" s="216"/>
      <c r="AY17" s="136">
        <f t="shared" si="10"/>
        <v>929</v>
      </c>
      <c r="AZ17" s="137">
        <f t="shared" si="10"/>
        <v>1027</v>
      </c>
      <c r="BA17" s="137">
        <f t="shared" si="10"/>
        <v>991</v>
      </c>
      <c r="BB17" s="137">
        <f t="shared" si="10"/>
        <v>984</v>
      </c>
      <c r="BC17" s="135">
        <f>IF(ISNUMBER(W17),W17," - ")</f>
        <v>169</v>
      </c>
      <c r="BD17" s="136">
        <f t="shared" ref="BD17:BD22" si="12">IF(ISNUMBER(BA17/AZ17),BA17/AZ17," - ")</f>
        <v>0.96494644595910417</v>
      </c>
      <c r="BE17" s="137">
        <f t="shared" ref="BE17:BE22" si="13">IF(ISNUMBER(BB17/BA17),BB17/BA17, " - ")</f>
        <v>0.99293642785065594</v>
      </c>
      <c r="BF17" s="137">
        <f t="shared" ref="BF17:BF22" si="14">IF(ISNUMBER(BC17/BA17),BC17/BA17, " - ")</f>
        <v>0.17053481331987891</v>
      </c>
      <c r="BG17" s="209">
        <f t="shared" si="11"/>
        <v>1.9737638748738648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64</v>
      </c>
      <c r="K18" s="196">
        <v>65</v>
      </c>
      <c r="L18" s="196">
        <v>48</v>
      </c>
      <c r="M18" s="196">
        <v>11</v>
      </c>
      <c r="N18" s="196">
        <v>25</v>
      </c>
      <c r="O18" s="196">
        <v>0</v>
      </c>
      <c r="P18" s="196">
        <v>0</v>
      </c>
      <c r="Q18" s="196">
        <v>0</v>
      </c>
      <c r="R18" s="196">
        <v>0</v>
      </c>
      <c r="S18" s="196">
        <v>80</v>
      </c>
      <c r="T18" s="196">
        <v>80</v>
      </c>
      <c r="U18" s="196">
        <v>102</v>
      </c>
      <c r="V18" s="196">
        <v>58</v>
      </c>
      <c r="W18" s="196">
        <v>14</v>
      </c>
      <c r="X18" s="202">
        <v>62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80</v>
      </c>
      <c r="BA18" s="139">
        <f t="shared" si="15"/>
        <v>102</v>
      </c>
      <c r="BB18" s="139">
        <f t="shared" si="15"/>
        <v>58</v>
      </c>
      <c r="BC18" s="135">
        <f>IF(ISNUMBER(W18),W18," - ")</f>
        <v>14</v>
      </c>
      <c r="BD18" s="136">
        <f>IF(ISNUMBER(BA18/AZ18),BA18/AZ18," - ")</f>
        <v>1.2749999999999999</v>
      </c>
      <c r="BE18" s="137">
        <f>IF(ISNUMBER(BB18/BA18),BB18/BA18, " - ")</f>
        <v>0.56862745098039214</v>
      </c>
      <c r="BF18" s="137">
        <f>IF(ISNUMBER(BC18/BA18),BC18/BA18, " - ")</f>
        <v>0.13725490196078433</v>
      </c>
      <c r="BG18" s="209">
        <f>IF(ISNUMBER((AY18+AZ18)/BA18),(AY18+AZ18)/BA18," - ")</f>
        <v>1.5686274509803921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1209</v>
      </c>
      <c r="J23" s="197">
        <f t="shared" si="21"/>
        <v>1183</v>
      </c>
      <c r="K23" s="197">
        <f t="shared" si="21"/>
        <v>1184</v>
      </c>
      <c r="L23" s="197">
        <f t="shared" si="21"/>
        <v>1225</v>
      </c>
      <c r="M23" s="197">
        <f t="shared" si="21"/>
        <v>213</v>
      </c>
      <c r="N23" s="197">
        <f t="shared" si="21"/>
        <v>553</v>
      </c>
      <c r="O23" s="197">
        <f t="shared" si="21"/>
        <v>0</v>
      </c>
      <c r="P23" s="197">
        <f t="shared" si="21"/>
        <v>53</v>
      </c>
      <c r="Q23" s="197">
        <f t="shared" si="21"/>
        <v>19</v>
      </c>
      <c r="R23" s="197">
        <f t="shared" si="21"/>
        <v>195</v>
      </c>
      <c r="S23" s="197">
        <f t="shared" si="21"/>
        <v>1009</v>
      </c>
      <c r="T23" s="197">
        <f t="shared" si="21"/>
        <v>1107</v>
      </c>
      <c r="U23" s="197">
        <f t="shared" si="21"/>
        <v>1093</v>
      </c>
      <c r="V23" s="197">
        <f t="shared" si="21"/>
        <v>1042</v>
      </c>
      <c r="W23" s="197">
        <f t="shared" si="21"/>
        <v>183</v>
      </c>
      <c r="X23" s="197">
        <f t="shared" si="21"/>
        <v>610</v>
      </c>
      <c r="Y23" s="197">
        <f t="shared" si="21"/>
        <v>0</v>
      </c>
      <c r="Z23" s="197">
        <f t="shared" si="21"/>
        <v>0</v>
      </c>
      <c r="AA23" s="197">
        <f t="shared" si="21"/>
        <v>0</v>
      </c>
      <c r="AB23" s="197">
        <f t="shared" si="21"/>
        <v>0</v>
      </c>
      <c r="AC23" s="197">
        <f t="shared" si="21"/>
        <v>28</v>
      </c>
      <c r="AD23" s="197">
        <f t="shared" si="21"/>
        <v>49</v>
      </c>
      <c r="AE23" s="197">
        <f t="shared" si="21"/>
        <v>50</v>
      </c>
      <c r="AF23" s="197">
        <f t="shared" si="21"/>
        <v>27</v>
      </c>
      <c r="AG23" s="197">
        <f t="shared" si="21"/>
        <v>0</v>
      </c>
      <c r="AH23" s="197">
        <f t="shared" si="21"/>
        <v>0</v>
      </c>
      <c r="AI23" s="197">
        <f t="shared" si="21"/>
        <v>0</v>
      </c>
      <c r="AJ23" s="197">
        <f t="shared" si="21"/>
        <v>0</v>
      </c>
      <c r="AK23" s="197">
        <f t="shared" si="21"/>
        <v>0</v>
      </c>
      <c r="AL23" s="197">
        <f t="shared" si="21"/>
        <v>46</v>
      </c>
      <c r="AM23" s="197">
        <f t="shared" si="21"/>
        <v>41</v>
      </c>
      <c r="AN23" s="197">
        <f t="shared" si="21"/>
        <v>5</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1009</v>
      </c>
      <c r="AZ23" s="197">
        <f>SUBTOTAL(9,AZ15:AZ22)</f>
        <v>1107</v>
      </c>
      <c r="BA23" s="197">
        <f>SUBTOTAL(9,BA15:BA22)</f>
        <v>1093</v>
      </c>
      <c r="BB23" s="197">
        <f>SUBTOTAL(9,BB15:BB22)</f>
        <v>1042</v>
      </c>
      <c r="BC23" s="197">
        <f>SUBTOTAL(9,BC15:BC22)</f>
        <v>183</v>
      </c>
      <c r="BD23" s="219">
        <f>IF(ISNUMBER(BA23/AZ23),BA23/AZ23," - ")</f>
        <v>0.98735320686540196</v>
      </c>
      <c r="BE23" s="220">
        <f>IF(ISNUMBER(BB23/BA23),BB23/BA23, " - ")</f>
        <v>0.95333943275388833</v>
      </c>
      <c r="BF23" s="220">
        <f>IF(ISNUMBER(BC23/BA23),BC23/BA23, " - ")</f>
        <v>0.16742909423604757</v>
      </c>
      <c r="BG23" s="221">
        <f>IF(ISNUMBER((AY23+AZ23)/BA23),(AY23+AZ23)/BA23," - ")</f>
        <v>1.9359560841720036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2233</v>
      </c>
      <c r="J31" s="144">
        <f t="shared" si="36"/>
        <v>1746</v>
      </c>
      <c r="K31" s="144">
        <f t="shared" si="36"/>
        <v>1709</v>
      </c>
      <c r="L31" s="144">
        <f t="shared" si="36"/>
        <v>2287</v>
      </c>
      <c r="M31" s="144">
        <f t="shared" si="36"/>
        <v>363</v>
      </c>
      <c r="N31" s="144">
        <f t="shared" si="36"/>
        <v>719</v>
      </c>
      <c r="O31" s="144">
        <f t="shared" si="36"/>
        <v>275</v>
      </c>
      <c r="P31" s="144">
        <f t="shared" si="36"/>
        <v>185</v>
      </c>
      <c r="Q31" s="144">
        <f t="shared" si="36"/>
        <v>311</v>
      </c>
      <c r="R31" s="144">
        <f t="shared" si="36"/>
        <v>1456</v>
      </c>
      <c r="S31" s="144">
        <f t="shared" si="36"/>
        <v>2029</v>
      </c>
      <c r="T31" s="144">
        <f t="shared" si="36"/>
        <v>1669</v>
      </c>
      <c r="U31" s="144">
        <f t="shared" si="36"/>
        <v>1655</v>
      </c>
      <c r="V31" s="144">
        <f t="shared" si="36"/>
        <v>2062</v>
      </c>
      <c r="W31" s="144">
        <f t="shared" si="36"/>
        <v>381</v>
      </c>
      <c r="X31" s="144">
        <f t="shared" si="36"/>
        <v>836</v>
      </c>
      <c r="Y31" s="144">
        <f t="shared" si="36"/>
        <v>68</v>
      </c>
      <c r="Z31" s="144">
        <f t="shared" si="36"/>
        <v>51</v>
      </c>
      <c r="AA31" s="144">
        <f t="shared" si="36"/>
        <v>71</v>
      </c>
      <c r="AB31" s="144">
        <f t="shared" si="36"/>
        <v>48</v>
      </c>
      <c r="AC31" s="144">
        <f t="shared" si="36"/>
        <v>28</v>
      </c>
      <c r="AD31" s="144">
        <f t="shared" si="36"/>
        <v>49</v>
      </c>
      <c r="AE31" s="144">
        <f t="shared" si="36"/>
        <v>50</v>
      </c>
      <c r="AF31" s="144">
        <f t="shared" si="36"/>
        <v>27</v>
      </c>
      <c r="AG31" s="144">
        <f t="shared" si="36"/>
        <v>53</v>
      </c>
      <c r="AH31" s="144">
        <f t="shared" si="36"/>
        <v>100</v>
      </c>
      <c r="AI31" s="144">
        <f t="shared" si="36"/>
        <v>66</v>
      </c>
      <c r="AJ31" s="144">
        <f t="shared" si="36"/>
        <v>87</v>
      </c>
      <c r="AK31" s="144">
        <f t="shared" si="36"/>
        <v>0</v>
      </c>
      <c r="AL31" s="144">
        <f t="shared" si="36"/>
        <v>46</v>
      </c>
      <c r="AM31" s="144">
        <f t="shared" si="36"/>
        <v>41</v>
      </c>
      <c r="AN31" s="224">
        <f t="shared" si="36"/>
        <v>5</v>
      </c>
      <c r="AO31" s="225">
        <v>6</v>
      </c>
      <c r="AP31" s="225">
        <v>5</v>
      </c>
      <c r="AQ31" s="225">
        <v>5</v>
      </c>
      <c r="AR31" s="225">
        <v>5</v>
      </c>
      <c r="AS31" s="166">
        <f t="shared" si="36"/>
        <v>0</v>
      </c>
      <c r="AT31" s="166">
        <f t="shared" si="36"/>
        <v>0</v>
      </c>
      <c r="AU31" s="225"/>
      <c r="AV31" s="226"/>
      <c r="AW31" s="225"/>
      <c r="AX31" s="226"/>
      <c r="AY31" s="143">
        <f>SUBTOTAL(9,AY9:AY30)</f>
        <v>2082</v>
      </c>
      <c r="AZ31" s="144">
        <f>SUBTOTAL(9,AZ9:AZ30)</f>
        <v>1769</v>
      </c>
      <c r="BA31" s="144">
        <f>SUBTOTAL(9,BA9:BA30)</f>
        <v>1721</v>
      </c>
      <c r="BB31" s="144">
        <f>SUBTOTAL(9,BB9:BB30)</f>
        <v>2149</v>
      </c>
      <c r="BC31" s="145">
        <f>SUBTOTAL(9,BC9:BC30)</f>
        <v>413</v>
      </c>
      <c r="BD31" s="227">
        <f>IF(ISNUMBER(BA31/AZ31),BA31/AZ31," - ")</f>
        <v>0.97286602600339178</v>
      </c>
      <c r="BE31" s="224">
        <f>IF(ISNUMBER(BB31/BA31),BB31/BA31, " - ")</f>
        <v>1.2486926205694364</v>
      </c>
      <c r="BF31" s="224">
        <f>IF(ISNUMBER(BC31/BA31),BC31/BA31, " - ")</f>
        <v>0.23997675769901219</v>
      </c>
      <c r="BG31" s="145">
        <f>IF(ISNUMBER((AY31+AZ31)/BA31),(AY31+AZ31)/BA31," - ")</f>
        <v>2.2376525276002326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VZnfmZ9PmD78fB4nc++KaSgsJ2UBJHCRfyzG0NDT31v7h53pGXnOkCtS+H1m4on8x8SE+iswShwxNCQDb9sSw==" saltValue="hihN1iTvKkEGe4u3NThS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1aqOep14R67GE6+mH2DOlG934/o4HCzhS0xKvNqfajtW6NGnwlNqFQCHPnhC/Milc7O4SAHEjvU/AmihDGUSg==" saltValue="/Op6q5TdBmzNcMZdvbde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IRUN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132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1261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148</v>
      </c>
      <c r="BD12" s="693">
        <f>IF(ISNUMBER(Datos!N12),Datos!N12," - ")</f>
        <v>166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0.97217675941080195</v>
      </c>
      <c r="BH12" s="764">
        <f>IF(ISNUMBER(((IF(J_V="SI",Datos!L12/Datos!K12,(Datos!L12+Datos!AB12)/(Datos!K12+Datos!AA12)))*11)/factor_trimestre),((IF(J_V="SI",Datos!L12/Datos!K12,(Datos!L12+Datos!AB12)/(Datos!K12+Datos!AA12)))*11)/factor_trimestre," - ")</f>
        <v>5.4747474747474749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-0.11259676284306826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132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292</v>
      </c>
      <c r="AD14" s="1198">
        <f t="shared" si="2"/>
        <v>0</v>
      </c>
      <c r="AE14" s="1198">
        <f t="shared" si="2"/>
        <v>0</v>
      </c>
      <c r="AF14" s="1198">
        <f t="shared" si="2"/>
        <v>26</v>
      </c>
      <c r="AG14" s="1198">
        <f t="shared" si="2"/>
        <v>0</v>
      </c>
      <c r="AH14" s="1198">
        <f t="shared" si="2"/>
        <v>48</v>
      </c>
      <c r="AI14" s="1198">
        <f t="shared" si="2"/>
        <v>0</v>
      </c>
      <c r="AJ14" s="1198">
        <f t="shared" si="2"/>
        <v>0</v>
      </c>
      <c r="AK14" s="1198">
        <f t="shared" si="2"/>
        <v>0</v>
      </c>
      <c r="AL14" s="1198">
        <f t="shared" si="2"/>
        <v>0</v>
      </c>
      <c r="AM14" s="1198">
        <f t="shared" si="2"/>
        <v>1261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150</v>
      </c>
      <c r="BD14" s="1198">
        <f t="shared" si="2"/>
        <v>166</v>
      </c>
      <c r="BE14" s="1198">
        <f t="shared" si="2"/>
        <v>0</v>
      </c>
      <c r="BF14" s="1198">
        <f t="shared" si="2"/>
        <v>0</v>
      </c>
      <c r="BG14" s="1198">
        <f>IF(ISNUMBER(Datos!K14/Datos!J14),Datos!K14/Datos!J14," - ")</f>
        <v>0.93250444049733572</v>
      </c>
      <c r="BH14" s="1202">
        <f>IF(ISNUMBER(((Datos!L14/Datos!K14)*11)/factor_trimestre),((Datos!L14/Datos!K14)*11)/factor_trimestre," - ")</f>
        <v>6.0685714285714285</v>
      </c>
      <c r="BI14" s="1198">
        <f>IF(ISNUMBER('Resol  Asuntos'!D14/NºAsuntos!G14),'Resol  Asuntos'!D14/NºAsuntos!G14," - ")</f>
        <v>0.25167785234899331</v>
      </c>
      <c r="BJ14" s="1198" t="str">
        <f>IF(ISNUMBER(Datos!CI14/Datos!CJ14),Datos!CI14/Datos!CJ14," - ")</f>
        <v xml:space="preserve"> - </v>
      </c>
      <c r="BK14" s="1198">
        <f>SUBTOTAL(9,BK8:BK13)</f>
        <v>0</v>
      </c>
      <c r="BL14" s="1198">
        <f>IF(ISNUMBER((I14-AB14+L14)/(F14)),(I14-AB14+L14)/(F14)," - ")</f>
        <v>-0.08</v>
      </c>
      <c r="BM14" s="1203">
        <f>SUBTOTAL(9,BM9:BM13)</f>
        <v>-0.11259676284306826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1177</v>
      </c>
      <c r="G17" s="743">
        <f>IF(ISNUMBER(IF(D_I="SI",Datos!I17,Datos!I17+Datos!AC17)),IF(D_I="SI",Datos!I17,Datos!I17+Datos!AC17)," - ")</f>
        <v>1160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1119</v>
      </c>
      <c r="AC17" s="240">
        <f>IF(ISNUMBER(Datos!Q17),Datos!Q17," - ")</f>
        <v>19</v>
      </c>
      <c r="AD17" s="374"/>
      <c r="AE17" s="562"/>
      <c r="AF17" s="741">
        <f>IF(ISNUMBER(IF(D_I="SI",Datos!L17,Datos!L17+Datos!AF17)),IF(D_I="SI",Datos!L17,Datos!L17+Datos!AF17)," - ")</f>
        <v>1177</v>
      </c>
      <c r="AG17" s="374"/>
      <c r="AH17" s="374"/>
      <c r="AI17" s="374"/>
      <c r="AJ17" s="549"/>
      <c r="AK17" s="374"/>
      <c r="AL17" s="545"/>
      <c r="AM17" s="375">
        <f>IF(ISNUMBER(Datos!R17),Datos!R17," - ")</f>
        <v>195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202</v>
      </c>
      <c r="BD17" s="243">
        <f>IF(ISNUMBER(Datos!N17),Datos!N17," - ")</f>
        <v>528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3.1554959785522789</v>
      </c>
      <c r="BI17" s="266">
        <f>IF(ISNUMBER('Resol  Asuntos'!D17/NºAsuntos!G17),'Resol  Asuntos'!D17/NºAsuntos!G17," - ")</f>
        <v>0.18051831992850759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65</v>
      </c>
      <c r="AC18" s="547">
        <f>IF(ISNUMBER(Datos!Q18),Datos!Q18," - ")</f>
        <v>0</v>
      </c>
      <c r="AD18" s="549"/>
      <c r="AE18" s="562"/>
      <c r="AF18" s="551">
        <f>IF(ISNUMBER(Datos!L18),Datos!L18,"-")</f>
        <v>48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1.015625</v>
      </c>
      <c r="BH18" s="764">
        <f>IF(ISNUMBER(((IF(D_I="SI",Datos!L18/Datos!K18,(Datos!L18+Datos!AF18)/(Datos!K18+Datos!AE18)))*11)/factor_trimestre),((IF(D_I="SI",Datos!L18/Datos!K18,(Datos!L18+Datos!AF18)/(Datos!K18+Datos!AE18)))*11)/factor_trimestre," - ")</f>
        <v>2.2153846153846155</v>
      </c>
      <c r="BI18" s="763">
        <f>IF(ISNUMBER('Resol  Asuntos'!D18/NºAsuntos!G18),'Resol  Asuntos'!D18/NºAsuntos!G18," - ")</f>
        <v>0.16923076923076924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1177</v>
      </c>
      <c r="G23" s="1197">
        <f>SUBTOTAL(9,G16:G22)</f>
        <v>1209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1184</v>
      </c>
      <c r="AC23" s="1198">
        <f t="shared" si="5"/>
        <v>19</v>
      </c>
      <c r="AD23" s="1198">
        <f t="shared" si="5"/>
        <v>0</v>
      </c>
      <c r="AE23" s="1198">
        <f t="shared" si="5"/>
        <v>0</v>
      </c>
      <c r="AF23" s="1198">
        <f t="shared" si="5"/>
        <v>1225</v>
      </c>
      <c r="AG23" s="1198">
        <f t="shared" si="5"/>
        <v>0</v>
      </c>
      <c r="AH23" s="1198">
        <f t="shared" si="5"/>
        <v>0</v>
      </c>
      <c r="AI23" s="1198">
        <f t="shared" si="5"/>
        <v>0</v>
      </c>
      <c r="AJ23" s="1198">
        <f t="shared" si="5"/>
        <v>0</v>
      </c>
      <c r="AK23" s="1198">
        <f t="shared" si="5"/>
        <v>0</v>
      </c>
      <c r="AL23" s="1198">
        <f t="shared" si="5"/>
        <v>0</v>
      </c>
      <c r="AM23" s="1198">
        <f t="shared" si="5"/>
        <v>195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213</v>
      </c>
      <c r="BD23" s="1198">
        <f t="shared" si="5"/>
        <v>553</v>
      </c>
      <c r="BE23" s="1198">
        <f t="shared" si="5"/>
        <v>0</v>
      </c>
      <c r="BF23" s="1198">
        <f t="shared" si="5"/>
        <v>0</v>
      </c>
      <c r="BG23" s="1198">
        <f>IF(ISNUMBER(Datos!K23/Datos!J23),Datos!K23/Datos!J23," - ")</f>
        <v>1.0008453085376163</v>
      </c>
      <c r="BH23" s="1202">
        <f>IF(ISNUMBER(((Datos!L23/Datos!K23)*11)/factor_trimestre),((Datos!L23/Datos!K23)*11)/factor_trimestre," - ")</f>
        <v>3.1038851351351351</v>
      </c>
      <c r="BI23" s="1198">
        <f>SUBTOTAL(9,BI16:BI22)</f>
        <v>0.34974908915927683</v>
      </c>
      <c r="BJ23" s="1198">
        <f>SUBTOTAL(9,BJ16:BJ22)</f>
        <v>0</v>
      </c>
      <c r="BK23" s="1198">
        <f>SUBTOTAL(9,BK16:BK22)</f>
        <v>0</v>
      </c>
      <c r="BL23" s="1198">
        <f>IF(ISNUMBER((I23-AB23+L23)/(F23)),(I23-AB23+L23)/(F23)," - ")</f>
        <v>-1.005947323704333</v>
      </c>
      <c r="BM23" s="1205">
        <f>IF(ISNUMBER((Datos!P23-Datos!Q23)/(Datos!R23-Datos!P23+Datos!Q23)),(Datos!P23-Datos!Q23)/(Datos!R23-Datos!P23+Datos!Q23)," - ")</f>
        <v>0.21118012422360249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1202</v>
      </c>
      <c r="G31" s="1117">
        <f t="shared" si="18"/>
        <v>1234</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1186</v>
      </c>
      <c r="AC31" s="1118">
        <f t="shared" si="19"/>
        <v>311</v>
      </c>
      <c r="AD31" s="1118">
        <f t="shared" si="19"/>
        <v>0</v>
      </c>
      <c r="AE31" s="1118">
        <f t="shared" si="19"/>
        <v>0</v>
      </c>
      <c r="AF31" s="1125">
        <f t="shared" si="19"/>
        <v>1251</v>
      </c>
      <c r="AG31" s="1125">
        <f t="shared" si="19"/>
        <v>0</v>
      </c>
      <c r="AH31" s="1125">
        <f t="shared" si="19"/>
        <v>48</v>
      </c>
      <c r="AI31" s="1125">
        <f t="shared" si="19"/>
        <v>0</v>
      </c>
      <c r="AJ31" s="1118">
        <f t="shared" si="19"/>
        <v>0</v>
      </c>
      <c r="AK31" s="1125">
        <f t="shared" si="19"/>
        <v>0</v>
      </c>
      <c r="AL31" s="1125">
        <f t="shared" si="19"/>
        <v>0</v>
      </c>
      <c r="AM31" s="1125">
        <f t="shared" si="19"/>
        <v>1456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363</v>
      </c>
      <c r="BD31" s="1117">
        <f t="shared" si="19"/>
        <v>719</v>
      </c>
      <c r="BE31" s="1117">
        <f t="shared" si="19"/>
        <v>0</v>
      </c>
      <c r="BF31" s="1127">
        <f t="shared" si="19"/>
        <v>0</v>
      </c>
      <c r="BG31" s="1223">
        <f>IF(ISNUMBER(Datos!K31/Datos!J31),Datos!K31/Datos!J31," - ")</f>
        <v>0.97880870561282929</v>
      </c>
      <c r="BH31" s="1223">
        <f>IF(ISNUMBER(((Datos!L31/Datos!K31)*11)/factor_trimestre),((Datos!L31/Datos!K31)*11)/factor_trimestre," - ")</f>
        <v>4.0146284376828554</v>
      </c>
      <c r="BI31" s="1103">
        <f>IF(ISNUMBER(Datos!J31/Datos!I31),Datos!J31/Datos!I31," - ")</f>
        <v>0.78190774742498881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-0.98668885191347755</v>
      </c>
      <c r="BM31" s="1188">
        <f>IF(ISNUMBER((Datos!P31-Datos!Q31+R31)/(Datos!R31-Datos!P31+Datos!Q31-R31)),(Datos!P31-Datos!Q31+R31)/(Datos!R31-Datos!P31+Datos!Q31-R31)," - ")</f>
        <v>-7.9646017699115043E-2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601.44913888596329</v>
      </c>
      <c r="G33" s="674">
        <f>IF(ISNUMBER(STDEV(G8:G30)),STDEV(G8:G30),"-")</f>
        <v>568.73920711894459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555.94976648717363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96.227038077366061</v>
      </c>
      <c r="BD33" s="673"/>
      <c r="BE33" s="673">
        <f>IF(ISNUMBER(STDEV(BE8:BE30)),STDEV(BE8:BE30),"-")</f>
        <v>0</v>
      </c>
      <c r="BF33" s="678">
        <f>IF(ISNUMBER(STDEV(BF8:BF30)),STDEV(BF8:BF30),"-")</f>
        <v>0</v>
      </c>
      <c r="BG33" s="1052">
        <f>IF(ISNUMBER(STDEV(BG8:BG30)),STDEV(BG8:BG30),"-")</f>
        <v>0.13294367736563364</v>
      </c>
      <c r="BH33" s="1058">
        <f>IF(ISNUMBER(STDEV(BH8:BH30)),STDEV(BH8:BH30),"-")</f>
        <v>14.365077238080595</v>
      </c>
      <c r="BI33" s="273">
        <f>IF(ISNUMBER(STDEV(BI8:BI30)),STDEV(BI8:BI30),"-")</f>
        <v>8.3082536243338126E-2</v>
      </c>
      <c r="BJ33" s="244" t="str">
        <f>IF(ISNUMBER(BL33/BM33),BL33/BM33," - ")</f>
        <v xml:space="preserve"> - </v>
      </c>
      <c r="BK33" s="709"/>
      <c r="BL33" s="681">
        <f>IF(ISNUMBER(STDEV(BL8:BL30)),STDEV(BL8:BL30),"-")</f>
        <v>0.65474363161286908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1fPE4A57c8Q/579+yYNqRsY+jOSzyybxEN2EZT/brzROut2yu1aTXhtgG5d3FamhI2SpPWdcSDdCsBBuoSeTg==" saltValue="L/+k48uiEahPUVQzIYSq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IRUN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292</v>
      </c>
      <c r="AA12" s="551" t="str">
        <f>IF(ISNUMBER(IF(J_V="SI",Datos!L12,Datos!L12+Datos!AB12)-IF(Monitorios="SI",Datos!CD12,0)),
                          IF(J_V="SI",Datos!L12,Datos!L12+Datos!AB12)-IF(Monitorios="SI",Datos!CD12,0),
                          " - ")</f>
        <v xml:space="preserve"> - </v>
      </c>
      <c r="AB12" s="549"/>
      <c r="AC12" s="549"/>
      <c r="AD12" s="563"/>
      <c r="AE12" s="563">
        <f>IF(ISNUMBER(Datos!R12),Datos!R12," - ")</f>
        <v>1261</v>
      </c>
      <c r="AF12" s="693" t="str">
        <f>IF(ISNUMBER(Datos!BV12),Datos!BV12," - ")</f>
        <v xml:space="preserve"> - </v>
      </c>
      <c r="AG12" s="552" t="str">
        <f>IF(ISNUMBER(Datos!DV12),Datos!DV12," - ")</f>
        <v xml:space="preserve"> - </v>
      </c>
      <c r="AH12" s="553"/>
      <c r="AI12" s="554"/>
      <c r="AJ12" s="552">
        <f>IF(ISNUMBER(Datos!M12),Datos!M12," - ")</f>
        <v>148</v>
      </c>
      <c r="AK12" s="693">
        <f>IF(ISNUMBER(Datos!N12),Datos!N12," - ")</f>
        <v>166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5.4747474747474749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-0.11259676284306826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292</v>
      </c>
      <c r="AA14" s="1199">
        <f t="shared" si="3"/>
        <v>26</v>
      </c>
      <c r="AB14" s="1199">
        <f t="shared" si="3"/>
        <v>0</v>
      </c>
      <c r="AC14" s="1199">
        <f t="shared" si="3"/>
        <v>0</v>
      </c>
      <c r="AD14" s="1199">
        <f t="shared" si="3"/>
        <v>0</v>
      </c>
      <c r="AE14" s="1199">
        <f t="shared" si="3"/>
        <v>1261</v>
      </c>
      <c r="AF14" s="1211">
        <f t="shared" si="3"/>
        <v>0</v>
      </c>
      <c r="AG14" s="1211">
        <f t="shared" si="3"/>
        <v>0</v>
      </c>
      <c r="AH14" s="1211">
        <f t="shared" si="3"/>
        <v>0</v>
      </c>
      <c r="AI14" s="1211">
        <f t="shared" si="3"/>
        <v>0</v>
      </c>
      <c r="AJ14" s="1211">
        <f t="shared" si="3"/>
        <v>150</v>
      </c>
      <c r="AK14" s="1211">
        <f t="shared" si="3"/>
        <v>166</v>
      </c>
      <c r="AL14" s="1211">
        <f t="shared" si="3"/>
        <v>0</v>
      </c>
      <c r="AM14" s="1211">
        <f t="shared" si="3"/>
        <v>0</v>
      </c>
      <c r="AN14" s="1211">
        <f t="shared" si="3"/>
        <v>0</v>
      </c>
      <c r="AO14" s="1203">
        <f>IF(ISNUMBER(((NºAsuntos!I14/NºAsuntos!G14)*11)/factor_trimestre),((NºAsuntos!I14/NºAsuntos!G14)*11)/factor_trimestre," - ")</f>
        <v>5.5872483221476505</v>
      </c>
      <c r="AP14" s="1213" t="str">
        <f>IF(ISNUMBER(Datos!CI14/Datos!CJ14),Datos!CI14/Datos!CJ14," - ")</f>
        <v xml:space="preserve"> - </v>
      </c>
      <c r="AQ14" s="1236">
        <f t="shared" ref="AQ14:AV14" si="4">SUBTOTAL(9,AQ9:AQ13)</f>
        <v>0</v>
      </c>
      <c r="AR14" s="1236">
        <f t="shared" si="4"/>
        <v>-0.11259676284306826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1177</v>
      </c>
      <c r="G17" s="552">
        <f>IF(ISNUMBER(IF(D_I="SI",Datos!I17,Datos!I17+Datos!AC17)),IF(D_I="SI",Datos!I17,Datos!I17+Datos!AC17)," - ")</f>
        <v>1160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1119</v>
      </c>
      <c r="Z17" s="805">
        <f>IF(ISNUMBER(Datos!Q17),Datos!Q17," - ")</f>
        <v>19</v>
      </c>
      <c r="AA17" s="551">
        <f>IF(ISNUMBER(IF(D_I="SI",Datos!L17,Datos!L17+Datos!AF17)),IF(D_I="SI",Datos!L17,Datos!L17+Datos!AF17)," - ")</f>
        <v>1177</v>
      </c>
      <c r="AB17" s="549"/>
      <c r="AC17" s="549"/>
      <c r="AD17" s="563"/>
      <c r="AE17" s="563">
        <f>IF(ISNUMBER(Datos!R17),Datos!R17," - ")</f>
        <v>195</v>
      </c>
      <c r="AF17" s="693" t="str">
        <f>IF(ISNUMBER(Datos!BV17),Datos!BV17," - ")</f>
        <v xml:space="preserve"> - </v>
      </c>
      <c r="AG17" s="552"/>
      <c r="AH17" s="553"/>
      <c r="AI17" s="554"/>
      <c r="AJ17" s="552">
        <f>IF(ISNUMBER(Datos!M17),Datos!M17," - ")</f>
        <v>202</v>
      </c>
      <c r="AK17" s="693">
        <f>IF(ISNUMBER(Datos!N17),Datos!N17," - ")</f>
        <v>528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3.1554959785522789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65</v>
      </c>
      <c r="Z18" s="805">
        <f>IF(ISNUMBER(Datos!Q18),Datos!Q18," - ")</f>
        <v>0</v>
      </c>
      <c r="AA18" s="551">
        <f>IF(ISNUMBER(Datos!L18),Datos!L18,"-")</f>
        <v>48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2.2153846153846155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1177</v>
      </c>
      <c r="G23" s="1197">
        <f>SUBTOTAL(9,G16:G22)</f>
        <v>1209</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1184</v>
      </c>
      <c r="Z23" s="1240">
        <f t="shared" si="6"/>
        <v>19</v>
      </c>
      <c r="AA23" s="1240">
        <f t="shared" si="6"/>
        <v>1225</v>
      </c>
      <c r="AB23" s="1240">
        <f t="shared" si="6"/>
        <v>0</v>
      </c>
      <c r="AC23" s="1240">
        <f t="shared" si="6"/>
        <v>0</v>
      </c>
      <c r="AD23" s="1240">
        <f t="shared" si="6"/>
        <v>0</v>
      </c>
      <c r="AE23" s="1240">
        <f t="shared" si="6"/>
        <v>195</v>
      </c>
      <c r="AF23" s="1240">
        <f t="shared" si="6"/>
        <v>0</v>
      </c>
      <c r="AG23" s="1240">
        <f t="shared" si="6"/>
        <v>0</v>
      </c>
      <c r="AH23" s="1240">
        <f t="shared" si="6"/>
        <v>0</v>
      </c>
      <c r="AI23" s="1240">
        <f t="shared" si="6"/>
        <v>0</v>
      </c>
      <c r="AJ23" s="1240">
        <f t="shared" si="6"/>
        <v>213</v>
      </c>
      <c r="AK23" s="1240">
        <f t="shared" si="6"/>
        <v>553</v>
      </c>
      <c r="AL23" s="1240">
        <f t="shared" si="6"/>
        <v>0</v>
      </c>
      <c r="AM23" s="1240">
        <f t="shared" si="6"/>
        <v>0</v>
      </c>
      <c r="AN23" s="1240">
        <f t="shared" si="6"/>
        <v>0</v>
      </c>
      <c r="AO23" s="1242">
        <f>IF(ISNUMBER(((NºAsuntos!I23/NºAsuntos!G23)*11)/factor_trimestre),((NºAsuntos!I23/NºAsuntos!G23)*11)/factor_trimestre," - ")</f>
        <v>3.1038851351351351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1202</v>
      </c>
      <c r="G31" s="1117">
        <f t="shared" si="12"/>
        <v>1234</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1186</v>
      </c>
      <c r="Z31" s="1124">
        <f t="shared" si="13"/>
        <v>311</v>
      </c>
      <c r="AA31" s="1125">
        <f t="shared" si="13"/>
        <v>1251</v>
      </c>
      <c r="AB31" s="1125">
        <f t="shared" si="13"/>
        <v>0</v>
      </c>
      <c r="AC31" s="1125">
        <f t="shared" si="13"/>
        <v>0</v>
      </c>
      <c r="AD31" s="1126">
        <f t="shared" si="13"/>
        <v>0</v>
      </c>
      <c r="AE31" s="1126">
        <f t="shared" si="13"/>
        <v>1456</v>
      </c>
      <c r="AF31" s="1127">
        <f t="shared" si="13"/>
        <v>0</v>
      </c>
      <c r="AG31" s="1128">
        <f t="shared" si="13"/>
        <v>0</v>
      </c>
      <c r="AH31" s="1129">
        <f t="shared" si="13"/>
        <v>0</v>
      </c>
      <c r="AI31" s="1127">
        <f t="shared" si="13"/>
        <v>0</v>
      </c>
      <c r="AJ31" s="1117">
        <f t="shared" si="13"/>
        <v>363</v>
      </c>
      <c r="AK31" s="1117">
        <f t="shared" si="13"/>
        <v>719</v>
      </c>
      <c r="AL31" s="1117">
        <f t="shared" si="13"/>
        <v>0</v>
      </c>
      <c r="AM31" s="1130">
        <f t="shared" si="13"/>
        <v>0</v>
      </c>
      <c r="AN31" s="1120">
        <f>IF(ISNUMBER(Datos!K31/Datos!J31),Datos!K31/Datos!J31," - ")</f>
        <v>0.97880870561282929</v>
      </c>
      <c r="AO31" s="1120">
        <f>IF(ISNUMBER(FIND("06",Criterios!A8,1)),(IF(ISNUMBER(((Datos!R31/Datos!Q31)*11)/factor_trimestre),((Datos!R31/Datos!Q31)*11)/factor_trimestre," - ")),(IF(ISNUMBER(((Datos!L31/Datos!K31)*11)/factor_trimestre),((Datos!L31/Datos!K31)*11)/factor_trimestre," - ")))</f>
        <v>4.0146284376828554</v>
      </c>
      <c r="AP31" s="1131" t="str">
        <f>IF(ISNUMBER(Datos!CI31/Datos!CJ31),Datos!CI31/Datos!CJ31," - ")</f>
        <v xml:space="preserve"> - </v>
      </c>
      <c r="AQ31" s="1131">
        <f>IF(OR(ISNUMBER(FIND("01",Criterios!A8,1)),ISNUMBER(FIND("02",Criterios!A8,1)),ISNUMBER(FIND("03",Criterios!A8,1)),ISNUMBER(FIND("04",Criterios!A8,1))),(J31-Y31+K31)/(F31-K31),(I31-Y31+K31)/(F31-K31))</f>
        <v>-0.98668885191347755</v>
      </c>
      <c r="AR31" s="1131">
        <f>IF(ISNUMBER((Datos!P31-Datos!Q31+O31)/(Datos!R31-Datos!P31+Datos!Q31-O31)),(Datos!P31-Datos!Q31+O31)/(Datos!R31-Datos!P31+Datos!Q31-O31)," - ")</f>
        <v>-7.9646017699115043E-2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601.44913888596329</v>
      </c>
      <c r="G33" s="674">
        <f>IF(ISNUMBER(STDEV(G8:G30)),STDEV(G8:G30),"-")</f>
        <v>568.73920711894459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96.227038077366061</v>
      </c>
      <c r="AK33" s="276"/>
      <c r="AL33" s="276">
        <f>IF(ISNUMBER(STDEV(AL8:AL30)),STDEV(AL8:AL30),"-")</f>
        <v>0</v>
      </c>
      <c r="AM33" s="278">
        <f>IF(ISNUMBER(STDEV(AM8:AM30)),STDEV(AM8:AM30),"-")</f>
        <v>0</v>
      </c>
      <c r="AN33" s="660">
        <f>IF(ISNUMBER(STDEV(AN8:AN30)),STDEV(AN8:AN30),"-")</f>
        <v>0</v>
      </c>
      <c r="AO33" s="661">
        <f>IF(ISNUMBER(STDEV(AO8:AO30)),STDEV(AO8:AO30),"-")</f>
        <v>14.391645601050119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vL3p5XhtBVSz9lvBVR+vXshNDfP1wZmeYESBcUcDNR0c0XDFgyOVJUXzSzaIUMl5GV53VTzOYCr+kdaU+sMiQ==" saltValue="ZLw5awiYtx/Q8a2FIlLT0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xGsfvbzesJ2SbnhwbBPrmnHuZcc3uDT72M9WPSCiLVskTzzf2ZAv0LqQCszPLpcmvrzip5cEAs/gcYQXe1XEw==" saltValue="4LJZRtcMnIiClyHu0yqD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a37is1z30CcxHjWeJRd8uL/H6pcnaxgw23Ov+qGv/gj93RK1yb2fuFNOrqa7SY3zjVPrsD9wt2Dl+I0/hGkIQ==" saltValue="MrkJq9prev3ZJDPgxyq/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IRUN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0.25167785234899331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0.17796311607043983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iPCFe45wLT3cuyHJ3hX0jryIgNBEMLwGc3yAiD55i1nmS+rjCELzFXkgecvkJvm551DE5gJK8ZjJFMdWgr6A==" saltValue="SuCcSom6rFY3KBijatNc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poqPGQdQx76144wtcR4RPnky6oDoNBzPdCNh3f/7F0VGvMaFdXKj6+ExPUi4L55o126JPPOpChtz2ozTlnfQg==" saltValue="ySd6BG10c9k+cXa+i72l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IRUN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3</v>
      </c>
      <c r="F10" s="452">
        <f>IF(ISNUMBER(E10/B10),E10/B10," - ")</f>
        <v>3</v>
      </c>
      <c r="G10" s="451">
        <f>IF(ISNUMBER(Datos!K10),Datos!K10," - ")</f>
        <v>2</v>
      </c>
      <c r="H10" s="452">
        <f>IF(ISNUMBER(G10/B10),G10/B10," - ")</f>
        <v>2</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1067</v>
      </c>
      <c r="D12" s="452">
        <f>IF(ISNUMBER(C12/Datos!BH12),C12/Datos!BH12," - ")</f>
        <v>213.4</v>
      </c>
      <c r="E12" s="451">
        <f>IF(ISNUMBER(IF(J_V="SI",Datos!J12,Datos!J12+Datos!Z12)),IF(J_V="SI",Datos!J12,Datos!J12+Datos!Z12)," - ")</f>
        <v>611</v>
      </c>
      <c r="F12" s="452">
        <f>IF(ISNUMBER(E12/B12),E12/B12," - ")</f>
        <v>122.2</v>
      </c>
      <c r="G12" s="451">
        <f>IF(ISNUMBER(IF(J_V="SI",Datos!K12,Datos!K12+Datos!AA12)),IF(J_V="SI",Datos!K12,Datos!K12+Datos!AA12)," - ")</f>
        <v>594</v>
      </c>
      <c r="H12" s="452">
        <f>IF(ISNUMBER(G12/B12),G12/B12," - ")</f>
        <v>118.8</v>
      </c>
      <c r="I12" s="451">
        <f>IF(ISNUMBER(IF(J_V="SI",Datos!L12,Datos!L12+Datos!AB12)),IF(J_V="SI",Datos!L12,Datos!L12+Datos!AB12)," - ")</f>
        <v>1084</v>
      </c>
      <c r="J12" s="452">
        <f>IF(ISNUMBER(I12/B12),I12/B12," - ")</f>
        <v>216.8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1092</v>
      </c>
      <c r="D14" s="1147" t="str">
        <f>IF(ISNUMBER(C14/Datos!BI14),C14/Datos!BI14," - ")</f>
        <v xml:space="preserve"> - </v>
      </c>
      <c r="E14" s="1146">
        <f>SUBTOTAL(9,E8:E13)</f>
        <v>614</v>
      </c>
      <c r="F14" s="1147">
        <f>IF(ISNUMBER(E14/B14),E14/B14," - ")</f>
        <v>122.8</v>
      </c>
      <c r="G14" s="1146">
        <f>SUBTOTAL(9,G8:G13)</f>
        <v>596</v>
      </c>
      <c r="H14" s="1147">
        <f>IF(ISNUMBER(G14/B14),G14/B14," - ")</f>
        <v>119.2</v>
      </c>
      <c r="I14" s="1146">
        <f>SUBTOTAL(9,I8:I13)</f>
        <v>1110</v>
      </c>
      <c r="J14" s="1147">
        <f>IF(ISNUMBER(I14/B14),I14/B14," - ")</f>
        <v>222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1160</v>
      </c>
      <c r="D17" s="452">
        <f>IF(ISNUMBER(C17/Datos!BH17),C17/Datos!BH17," - ")</f>
        <v>232</v>
      </c>
      <c r="E17" s="451">
        <f>IF(ISNUMBER(IF(D_I="SI",Datos!J17,Datos!J17+Datos!AD17)),IF(D_I="SI",Datos!J17,Datos!J17+Datos!AD17)," - ")</f>
        <v>1119</v>
      </c>
      <c r="F17" s="452">
        <f>IF(ISNUMBER(E17/B17),E17/B17," - ")</f>
        <v>223.8</v>
      </c>
      <c r="G17" s="451">
        <f>IF(ISNUMBER(IF(D_I="SI",Datos!K17,Datos!K17+Datos!AE17)),IF(D_I="SI",Datos!K17,Datos!K17+Datos!AE17)," - ")</f>
        <v>1119</v>
      </c>
      <c r="H17" s="452">
        <f>IF(ISNUMBER(G17/B17),G17/B17," - ")</f>
        <v>223.8</v>
      </c>
      <c r="I17" s="451">
        <f>IF(ISNUMBER(IF(D_I="SI",Datos!L17,Datos!L17+Datos!AF17)),IF(D_I="SI",Datos!L17,Datos!L17+Datos!AF17)," - ")</f>
        <v>1177</v>
      </c>
      <c r="J17" s="452">
        <f>IF(ISNUMBER(I17/B17),I17/B17," - ")</f>
        <v>235.4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64</v>
      </c>
      <c r="F18" s="452">
        <f>IF(ISNUMBER(E18/B18),E18/B18," - ")</f>
        <v>64</v>
      </c>
      <c r="G18" s="451">
        <f>IF(ISNUMBER(IF(D_I="SI",Datos!K18,Datos!K18+Datos!AE18)),IF(D_I="SI",Datos!K18,Datos!K18+Datos!AE18)," - ")</f>
        <v>65</v>
      </c>
      <c r="H18" s="452">
        <f>IF(ISNUMBER(G18/B18),G18/B18," - ")</f>
        <v>65</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1209</v>
      </c>
      <c r="D23" s="1147" t="str">
        <f>IF(ISNUMBER(C23/Datos!BI23),C23/Datos!BI23," - ")</f>
        <v xml:space="preserve"> - </v>
      </c>
      <c r="E23" s="1146">
        <f>SUBTOTAL(9,E15:E22)</f>
        <v>1183</v>
      </c>
      <c r="F23" s="1147">
        <f>IF(ISNUMBER(E23/B23),E23/B23," - ")</f>
        <v>236.6</v>
      </c>
      <c r="G23" s="1146">
        <f>SUBTOTAL(9,G15:G22)</f>
        <v>1184</v>
      </c>
      <c r="H23" s="1147">
        <f>IF(ISNUMBER(G23/B23),G23/B23," - ")</f>
        <v>236.8</v>
      </c>
      <c r="I23" s="1146">
        <f>SUBTOTAL(9,I15:I22)</f>
        <v>1225</v>
      </c>
      <c r="J23" s="1147">
        <f>IF(ISNUMBER(I23/B23),I23/B23," - ")</f>
        <v>245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2301</v>
      </c>
      <c r="D31" s="1085" t="str">
        <f>IF(ISNUMBER(C31/Datos!BI31),C31/Datos!BI31," - ")</f>
        <v xml:space="preserve"> - </v>
      </c>
      <c r="E31" s="1084">
        <f>SUBTOTAL(9,E9:E30)</f>
        <v>1797</v>
      </c>
      <c r="F31" s="1085">
        <f>IF(ISNUMBER(E31/B31),E31/B31," - ")</f>
        <v>359.4</v>
      </c>
      <c r="G31" s="1084">
        <f>SUBTOTAL(9,G9:G30)</f>
        <v>1780</v>
      </c>
      <c r="H31" s="1085">
        <f>IF(ISNUMBER(G31/B31),G31/B31," - ")</f>
        <v>356</v>
      </c>
      <c r="I31" s="1084">
        <f>SUBTOTAL(9,I9:I30)</f>
        <v>2335</v>
      </c>
      <c r="J31" s="1085">
        <f>IF(ISNUMBER(I31/B31),I31/B31," - ")</f>
        <v>467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TtW7pbxda1dkRvEw+mhjz3paW9J4NyWn87dIgKBDeXSh5UjOc+B/15+bKxLW1AZ32frkpfiHwFexmM6+Knpg==" saltValue="x/GjTwMFw4B+W6Ryc5tW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IRUN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148</v>
      </c>
      <c r="AM12" s="914">
        <f>IF(ISNUMBER(Datos!N12+DatosP!N17),Datos!N12+DatosP!N17," - ")</f>
        <v>166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5.4747474747474749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-0.11259676284306826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292</v>
      </c>
      <c r="AE14" s="1257">
        <f t="shared" si="1"/>
        <v>0</v>
      </c>
      <c r="AF14" s="1257">
        <f t="shared" si="1"/>
        <v>26</v>
      </c>
      <c r="AG14" s="1257">
        <f t="shared" si="1"/>
        <v>0</v>
      </c>
      <c r="AH14" s="1257">
        <f t="shared" si="1"/>
        <v>1261</v>
      </c>
      <c r="AI14" s="1257">
        <f t="shared" si="1"/>
        <v>0</v>
      </c>
      <c r="AJ14" s="1257">
        <f t="shared" si="1"/>
        <v>0</v>
      </c>
      <c r="AK14" s="1257">
        <f t="shared" si="1"/>
        <v>0</v>
      </c>
      <c r="AL14" s="1257">
        <f t="shared" si="1"/>
        <v>150</v>
      </c>
      <c r="AM14" s="1257">
        <f t="shared" si="1"/>
        <v>166</v>
      </c>
      <c r="AN14" s="1257">
        <f t="shared" si="1"/>
        <v>0</v>
      </c>
      <c r="AO14" s="1257">
        <f t="shared" si="1"/>
        <v>0</v>
      </c>
      <c r="AP14" s="1262">
        <f>IF(ISNUMBER(((Datos!L14/Datos!K14)*11)/factor_trimestre),((Datos!L14/Datos!K14)*11)/factor_trimestre," - ")</f>
        <v>6.0685714285714285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-0.08</v>
      </c>
      <c r="AU14" s="1257" t="str">
        <f>IF(ISNUMBER((DatosP!#REF!-DatosP!#REF!+DatosP!#REF!)/(DatosP!#REF!+DatosP!#REF!-DatosP!#REF!-DatosP!#REF!)),(DatosP!#REF!-DatosP!#REF!+DatosP!#REF!)/(DatosP!#REF!+DatosP!#REF!-DatosP!#REF!-DatosP!#REF!)," - ")</f>
        <v xml:space="preserve"> - </v>
      </c>
      <c r="AV14" s="1263">
        <f>SUBTOTAL(9,AV9:AV13)</f>
        <v>-0.11259676284306826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3.1038851351351351</v>
      </c>
      <c r="AQ23" s="1262">
        <f>IF(ISNUMBER(((Datos!M23/Datos!L23)*11)/factor_trimestre),((Datos!M23/Datos!L23)*11)/factor_trimestre," - ")</f>
        <v>0.52163265306122453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0.21118012422360249</v>
      </c>
      <c r="AW23" s="1265">
        <f>IF(ISNUMBER((Datos!Q23-Datos!R23)/(Datos!S23-Datos!Q23+Datos!R23)),(Datos!Q23-Datos!R23)/(Datos!S23-Datos!Q23+Datos!R23)," - ")</f>
        <v>-0.14852320675105485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292</v>
      </c>
      <c r="AE31" s="1284">
        <f t="shared" si="9"/>
        <v>0</v>
      </c>
      <c r="AF31" s="1285">
        <f t="shared" si="9"/>
        <v>26</v>
      </c>
      <c r="AG31" s="1285">
        <f t="shared" si="9"/>
        <v>0</v>
      </c>
      <c r="AH31" s="1285">
        <f t="shared" si="9"/>
        <v>1261</v>
      </c>
      <c r="AI31" s="1285">
        <f t="shared" si="9"/>
        <v>0</v>
      </c>
      <c r="AJ31" s="1286">
        <f t="shared" si="9"/>
        <v>0</v>
      </c>
      <c r="AK31" s="1286">
        <f t="shared" si="9"/>
        <v>0</v>
      </c>
      <c r="AL31" s="1278">
        <f t="shared" si="9"/>
        <v>150</v>
      </c>
      <c r="AM31" s="1278">
        <f t="shared" si="9"/>
        <v>166</v>
      </c>
      <c r="AN31" s="1278">
        <f t="shared" si="9"/>
        <v>0</v>
      </c>
      <c r="AO31" s="1278">
        <f t="shared" si="9"/>
        <v>0</v>
      </c>
      <c r="AP31" s="1278">
        <f>IF(ISNUMBER(((Datos!L31/Datos!K31)*11)/factor_trimestre),((Datos!L31/Datos!K31)*11)/factor_trimestre," - ")</f>
        <v>4.0146284376828554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-7.9646017699115043E-2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76.691590151723943</v>
      </c>
      <c r="AM33" s="1006"/>
      <c r="AN33" s="1006">
        <f>IF(ISNUMBER(STDEV(AN8:AN30)),STDEV(AN8:AN30),"-")</f>
        <v>0</v>
      </c>
      <c r="AO33" s="1012">
        <f>IF(ISNUMBER(STDEV(AO8:AO30)),STDEV(AO8:AO30),"-")</f>
        <v>0</v>
      </c>
      <c r="AP33" s="1065">
        <f>IF(ISNUMBER(STDEV(AP8:AP30)),STDEV(AP8:AP30),"-")</f>
        <v>17.106810502858799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p9JfPyG6J0o/eKpJX1D9kwfut89LJ9UI4ZXMV80jgZwClTB7Dq1v5eUhfMbHVySAgNQRolwEFaFlK+JIpwKoQ==" saltValue="Mz/FivYhgf3UVWNtV52f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IRUN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FGv5vhTOGu0FG4pnjfQs4wx1wVmVQZHCV4s11EpunZ7+3jiHZaC6n33yTgnHwbw/iTH6Q1q13oYOeySREp5Gg==" saltValue="dij5trOoK5Akht4hefPb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IRUN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148</v>
      </c>
      <c r="E12" s="452">
        <f t="shared" si="0"/>
        <v>29.6</v>
      </c>
      <c r="F12" s="451">
        <f>IF(ISNUMBER(Datos!N12),Datos!N12," - ")</f>
        <v>166</v>
      </c>
      <c r="G12" s="452">
        <f t="shared" si="1"/>
        <v>33.200000000000003</v>
      </c>
      <c r="H12" s="451">
        <f>IF(ISNUMBER(Datos!O12),Datos!O12," - ")</f>
        <v>275</v>
      </c>
      <c r="I12" s="452">
        <f t="shared" si="2"/>
        <v>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150</v>
      </c>
      <c r="E14" s="1147">
        <f t="shared" si="0"/>
        <v>25</v>
      </c>
      <c r="F14" s="1146">
        <f>SUBTOTAL(9,F9:F13)</f>
        <v>166</v>
      </c>
      <c r="G14" s="1147">
        <f t="shared" si="1"/>
        <v>27.666666666666668</v>
      </c>
      <c r="H14" s="1146">
        <f>SUBTOTAL(9,H9:H13)</f>
        <v>275</v>
      </c>
      <c r="I14" s="1147">
        <f>IF(ISNUMBER(H14/B14),H14/B14," - ")</f>
        <v>45.833333333333336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202</v>
      </c>
      <c r="E17" s="452">
        <f t="shared" si="3"/>
        <v>40.4</v>
      </c>
      <c r="F17" s="451">
        <f>IF(ISNUMBER(Datos!N17),Datos!N17," - ")</f>
        <v>528</v>
      </c>
      <c r="G17" s="452">
        <f t="shared" si="4"/>
        <v>105.6</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213</v>
      </c>
      <c r="E23" s="1147">
        <f t="shared" si="3"/>
        <v>35.5</v>
      </c>
      <c r="F23" s="1146">
        <f>SUBTOTAL(9,F16:F22)</f>
        <v>553</v>
      </c>
      <c r="G23" s="1147">
        <f t="shared" si="4"/>
        <v>92.166666666666671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363</v>
      </c>
      <c r="E31" s="1085">
        <f>IF(ISNUMBER(D31/B31),D31/B31," - ")</f>
        <v>72.599999999999994</v>
      </c>
      <c r="F31" s="1084">
        <f>SUBTOTAL(9,F8:F30)</f>
        <v>719</v>
      </c>
      <c r="G31" s="1085">
        <f>IF(ISNUMBER(F31/B31),F31/B31," - ")</f>
        <v>143.80000000000001</v>
      </c>
      <c r="H31" s="1084">
        <f>SUBTOTAL(9,H8:H30)</f>
        <v>275</v>
      </c>
      <c r="I31" s="1085">
        <f>IF(ISNUMBER(H31/B31),H31/B31," - ")</f>
        <v>55</v>
      </c>
    </row>
    <row r="34" spans="1:1">
      <c r="A34" s="439" t="str">
        <f>Criterios!A4</f>
        <v>Fecha Informe: 06 may. 2023</v>
      </c>
    </row>
    <row r="39" spans="1:1">
      <c r="A39" s="462"/>
    </row>
  </sheetData>
  <sheetProtection algorithmName="SHA-512" hashValue="eboS1VraIVy+PdhNAv02Vqwl5htCK7+TM88eZ8Ss1E8cJYbLXDV+YrRAejyFipV1QzvdoHkex4RaYmHsLqiiuQ==" saltValue="RGD5mfftJWXRr1Zynbfm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IRUN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132</v>
      </c>
      <c r="C12" s="489">
        <f>IF(ISNUMBER(Datos!Q12),Datos!Q12," - ")</f>
        <v>292</v>
      </c>
      <c r="D12" s="456">
        <f>IF(ISNUMBER(Datos!R12),Datos!R12," - ")</f>
        <v>1261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132</v>
      </c>
      <c r="C14" s="1150">
        <f>SUBTOTAL(9,C9:C13)</f>
        <v>292</v>
      </c>
      <c r="D14" s="1148">
        <f>SUBTOTAL(9,D9:D13)</f>
        <v>1261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19</v>
      </c>
      <c r="D17" s="456">
        <f>IF(ISNUMBER(Datos!R17),Datos!R17," - ")</f>
        <v>195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19</v>
      </c>
      <c r="D23" s="1148">
        <f>SUBTOTAL(9,D16:D22)</f>
        <v>195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311</v>
      </c>
      <c r="D31" s="1090">
        <f>SUBTOTAL(9,D8:D30)</f>
        <v>1456</v>
      </c>
    </row>
    <row r="32" spans="1:4" ht="7.5" customHeight="1"/>
    <row r="33" spans="1:1" ht="6" customHeight="1"/>
    <row r="34" spans="1:1">
      <c r="A34" s="439" t="str">
        <f>Criterios!A4</f>
        <v>Fecha Informe: 06 may. 2023</v>
      </c>
    </row>
    <row r="39" spans="1:1">
      <c r="A39" s="462"/>
    </row>
  </sheetData>
  <sheetProtection algorithmName="SHA-512" hashValue="DbvYc2XQtlabZQGgV/v+8q7skkg+B5SFAXzH1MauzUXTLeBkVStHeX+/yysQFBD6hG8pZM+NhrPOOif3bNO3kA==" saltValue="k634gNnGmJm7T2yNTV+i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IRUN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0.92307692307692313</v>
      </c>
      <c r="C10" s="515">
        <f>IF(ISNUMBER((Datos!J10-Datos!T10)/Datos!T10),(Datos!J10-Datos!T10)/Datos!T10," - ")</f>
        <v>0.5</v>
      </c>
      <c r="D10" s="515">
        <f>IF(ISNUMBER((Datos!K10-Datos!U10)/Datos!U10),(Datos!K10-Datos!U10)/Datos!U10," - ")</f>
        <v>-0.5</v>
      </c>
      <c r="E10" s="515">
        <f>IF(ISNUMBER((Datos!L10-Datos!V10)/Datos!V10),(Datos!L10-Datos!V10)/Datos!V10," - ")</f>
        <v>1.3636363636363635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3.7272727272727271</v>
      </c>
      <c r="J10" s="521">
        <f>IF(ISNUMBER((('Resol  Asuntos'!D10/NºAsuntos!G10)-Datos!BF10)/Datos!BF10),(('Resol  Asuntos'!D10/NºAsuntos!G10)-Datos!BF10)/Datos!BF10," - ")</f>
        <v>0</v>
      </c>
      <c r="K10" s="522">
        <f>IF(ISNUMBER((((NºAsuntos!C10+NºAsuntos!E10)/NºAsuntos!G10)-Datos!BG10)/Datos!BG10),(((NºAsuntos!C10+NºAsuntos!E10)/NºAsuntos!G10)-Datos!BG10)/Datos!BG10," - ")</f>
        <v>2.7333333333333334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6.6037735849056606E-3</v>
      </c>
      <c r="C12" s="515">
        <f>IF(ISNUMBER(
   IF(J_V="SI",(Datos!J12-Datos!T12)/Datos!T12,(Datos!J12+Datos!Z12-(Datos!T12+Datos!AH12))/(Datos!T12+Datos!AH12))
     ),IF(J_V="SI",(Datos!J12-Datos!T12)/Datos!T12,(Datos!J12+Datos!Z12-(Datos!T12+Datos!AH12))/(Datos!T12+Datos!AH12))," - ")</f>
        <v>-7.4242424242424249E-2</v>
      </c>
      <c r="D12" s="515">
        <f>IF(ISNUMBER(
   IF(J_V="SI",(Datos!K12-Datos!U12)/Datos!U12,(Datos!K12+Datos!AA12-(Datos!U12+Datos!AI12))/(Datos!U12+Datos!AI12))
     ),IF(J_V="SI",(Datos!K12-Datos!U12)/Datos!U12,(Datos!K12+Datos!AA12-(Datos!U12+Datos!AI12))/(Datos!U12+Datos!AI12))," - ")</f>
        <v>-4.807692307692308E-2</v>
      </c>
      <c r="E12" s="515">
        <f>IF(ISNUMBER(
   IF(J_V="SI",(Datos!L12-Datos!V12)/Datos!V12,(Datos!L12+Datos!AB12-(Datos!V12+Datos!AJ12))/(Datos!V12+Datos!AJ12))
     ),IF(J_V="SI",(Datos!L12-Datos!V12)/Datos!V12,(Datos!L12+Datos!AB12-(Datos!V12+Datos!AJ12))/(Datos!V12+Datos!AJ12))," - ")</f>
        <v>-1.0948905109489052E-2</v>
      </c>
      <c r="F12" s="515">
        <f>IF(ISNUMBER((Datos!M12-Datos!W12)/Datos!W12),(Datos!M12-Datos!W12)/Datos!W12," - ")</f>
        <v>-0.23711340206185566</v>
      </c>
      <c r="G12" s="516">
        <f>IF(ISNUMBER((Datos!N12-Datos!X12)/Datos!X12),(Datos!N12-Datos!X12)/Datos!X12," - ")</f>
        <v>-0.26548672566371684</v>
      </c>
      <c r="H12" s="514">
        <f>IF(ISNUMBER(((NºAsuntos!G12/NºAsuntos!E12)-Datos!BD12)/Datos!BD12),((NºAsuntos!G12/NºAsuntos!E12)-Datos!BD12)/Datos!BD12," - ")</f>
        <v>2.8263880146040542E-2</v>
      </c>
      <c r="I12" s="515">
        <f>IF(ISNUMBER(((NºAsuntos!I12/NºAsuntos!G12)-Datos!BE12)/Datos!BE12),((NºAsuntos!I12/NºAsuntos!G12)-Datos!BE12)/Datos!BE12," - ")</f>
        <v>3.9003170390031663E-2</v>
      </c>
      <c r="J12" s="521">
        <f>IF(ISNUMBER((('Resol  Asuntos'!D12/NºAsuntos!G12)-Datos!BF12)/Datos!BF12),(('Resol  Asuntos'!D12/NºAsuntos!G12)-Datos!BF12)/Datos!BF12," - ")</f>
        <v>-0.31205863949226781</v>
      </c>
      <c r="K12" s="522">
        <f>IF(ISNUMBER((((NºAsuntos!C12+NºAsuntos!E12)/NºAsuntos!G12)-Datos!BG12)/Datos!BG12),(((NºAsuntos!C12+NºAsuntos!E12)/NºAsuntos!G12)-Datos!BG12)/Datos!BG12," - ")</f>
        <v>2.485318299271785E-2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1.7707362534948742E-2</v>
      </c>
      <c r="C14" s="1152">
        <f>IF(ISNUMBER(
   IF(J_V="SI",(Datos!J14-Datos!T14)/Datos!T14,(Datos!J14+Datos!Z14-(Datos!T14+Datos!AH14))/(Datos!T14+Datos!AH14))
     ),IF(J_V="SI",(Datos!J14-Datos!T14)/Datos!T14,(Datos!J14+Datos!Z14-(Datos!T14+Datos!AH14))/(Datos!T14+Datos!AH14))," - ")</f>
        <v>-7.2507552870090641E-2</v>
      </c>
      <c r="D14" s="1152">
        <f>IF(ISNUMBER(
   IF(J_V="SI",(Datos!K14-Datos!U14)/Datos!U14,(Datos!K14+Datos!AA14-(Datos!U14+Datos!AI14))/(Datos!U14+Datos!AI14))
     ),IF(J_V="SI",(Datos!K14-Datos!U14)/Datos!U14,(Datos!K14+Datos!AA14-(Datos!U14+Datos!AI14))/(Datos!U14+Datos!AI14))," - ")</f>
        <v>-5.0955414012738856E-2</v>
      </c>
      <c r="E14" s="1152">
        <f>IF(ISNUMBER(
   IF(J_V="SI",(Datos!L14-Datos!V14)/Datos!V14,(Datos!L14+Datos!AB14-(Datos!V14+Datos!AJ14))/(Datos!V14+Datos!AJ14))
     ),IF(J_V="SI",(Datos!L14-Datos!V14)/Datos!V14,(Datos!L14+Datos!AB14-(Datos!V14+Datos!AJ14))/(Datos!V14+Datos!AJ14))," - ")</f>
        <v>2.7100271002710027E-3</v>
      </c>
      <c r="F14" s="1153">
        <f>IF(ISNUMBER((Datos!M14-Datos!W14)/Datos!W14),(Datos!M14-Datos!W14)/Datos!W14," - ")</f>
        <v>-0.24242424242424243</v>
      </c>
      <c r="G14" s="1154">
        <f>IF(ISNUMBER((Datos!N14-Datos!X14)/Datos!X14),(Datos!N14-Datos!X14)/Datos!X14," - ")</f>
        <v>-0.26548672566371684</v>
      </c>
      <c r="H14" s="1154">
        <f>IF(ISNUMBER(((NºAsuntos!G14/NºAsuntos!E14)-Datos!BD14)/Datos!BD14),((NºAsuntos!G14/NºAsuntos!E14)-Datos!BD14)/Datos!BD14," - ")</f>
        <v>2.3236996618187105E-2</v>
      </c>
      <c r="I14" s="1154">
        <f>IF(ISNUMBER(((NºAsuntos!I14/NºAsuntos!G14)-Datos!BE14)/Datos!BE14),((NºAsuntos!I14/NºAsuntos!G14)-Datos!BE14)/Datos!BE14," - ")</f>
        <v>5.6546807078808999E-2</v>
      </c>
      <c r="J14" s="1154">
        <f>IF(ISNUMBER((('Resol  Asuntos'!D14/NºAsuntos!G14)-Datos!BF14)/Datos!BF14),(('Resol  Asuntos'!D14/NºAsuntos!G14)-Datos!BF14)/Datos!BF14," - ")</f>
        <v>-0.31281003793405299</v>
      </c>
      <c r="K14" s="1154">
        <f>IF(ISNUMBER((((NºAsuntos!C14+NºAsuntos!E14)/NºAsuntos!G14)-Datos!BG14)/Datos!BG14),(((NºAsuntos!C14+NºAsuntos!E14)/NºAsuntos!G14)-Datos!BG14)/Datos!BG14," - ")</f>
        <v>3.607914434365516E-2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0.24865446716899892</v>
      </c>
      <c r="C17" s="515">
        <f>IF(ISNUMBER(
   IF(D_I="SI",(Datos!J17-Datos!T17)/Datos!T17,(Datos!J17+Datos!AD17-(Datos!T17+Datos!AL17))/(Datos!T17+Datos!AL17))
     ),IF(D_I="SI",(Datos!J17-Datos!T17)/Datos!T17,(Datos!J17+Datos!AD17-(Datos!T17+Datos!AL17))/(Datos!T17+Datos!AL17))," - ")</f>
        <v>8.9581304771178191E-2</v>
      </c>
      <c r="D17" s="515">
        <f>IF(ISNUMBER(
   IF(D_I="SI",(Datos!K17-Datos!U17)/Datos!U17,(Datos!K17+Datos!AE17-(Datos!U17+Datos!AM17))/(Datos!U17+Datos!AM17))
     ),IF(D_I="SI",(Datos!K17-Datos!U17)/Datos!U17,(Datos!K17+Datos!AE17-(Datos!U17+Datos!AM17))/(Datos!U17+Datos!AM17))," - ")</f>
        <v>0.12916246215943492</v>
      </c>
      <c r="E17" s="515">
        <f>IF(ISNUMBER(
   IF(D_I="SI",(Datos!L17-Datos!V17)/Datos!V17,(Datos!L17+Datos!AF17-(Datos!V17+Datos!AN17))/(Datos!V17+Datos!AN17))
     ),IF(D_I="SI",(Datos!L17-Datos!V17)/Datos!V17,(Datos!L17+Datos!AF17-(Datos!V17+Datos!AN17))/(Datos!V17+Datos!AN17))," - ")</f>
        <v>0.19613821138211382</v>
      </c>
      <c r="F17" s="515">
        <f>IF(ISNUMBER((Datos!M17-Datos!W17)/Datos!W17),(Datos!M17-Datos!W17)/Datos!W17," - ")</f>
        <v>0.19526627218934911</v>
      </c>
      <c r="G17" s="516">
        <f>IF(ISNUMBER((Datos!N17-Datos!X17)/Datos!X17),(Datos!N17-Datos!X17)/Datos!X17," - ")</f>
        <v>-3.6496350364963501E-2</v>
      </c>
      <c r="H17" s="514">
        <f>IF(ISNUMBER(((NºAsuntos!G17/NºAsuntos!E17)-Datos!BD17)/Datos!BD17),((NºAsuntos!G17/NºAsuntos!E17)-Datos!BD17)/Datos!BD17," - ")</f>
        <v>3.6326942482341085E-2</v>
      </c>
      <c r="I17" s="515">
        <f>IF(ISNUMBER(((NºAsuntos!I17/NºAsuntos!G17)-Datos!BE17)/Datos!BE17),((NºAsuntos!I17/NºAsuntos!G17)-Datos!BE17)/Datos!BE17," - ")</f>
        <v>5.9314537515348258E-2</v>
      </c>
      <c r="J17" s="521">
        <f>IF(ISNUMBER((('Resol  Asuntos'!D17/NºAsuntos!G17)-Datos!BF17)/Datos!BF17),(('Resol  Asuntos'!D17/NºAsuntos!G17)-Datos!BF17)/Datos!BF17," - ")</f>
        <v>5.854233756894095E-2</v>
      </c>
      <c r="K17" s="522">
        <f>IF(ISNUMBER((((NºAsuntos!C17+NºAsuntos!E17)/NºAsuntos!G17)-Datos!BG17)/Datos!BG17),(((NºAsuntos!C17+NºAsuntos!E17)/NºAsuntos!G17)-Datos!BG17)/Datos!BG17," - ")</f>
        <v>3.1855878477533454E-2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-0.38750000000000001</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-0.36274509803921567</v>
      </c>
      <c r="E18" s="515">
        <f>IF(ISNUMBER(
   IF(D_I="SI",(Datos!L18-Datos!V18)/Datos!V18,(Datos!L18+Datos!AF18-(Datos!V18+Datos!AN18))/(Datos!V18+Datos!AN18))
     ),IF(D_I="SI",(Datos!L18-Datos!V18)/Datos!V18,(Datos!L18+Datos!AF18-(Datos!V18+Datos!AN18))/(Datos!V18+Datos!AN18))," - ")</f>
        <v>-0.17241379310344829</v>
      </c>
      <c r="F18" s="515">
        <f>IF(ISNUMBER((Datos!M18-Datos!W18)/Datos!W18),(Datos!M18-Datos!W18)/Datos!W18," - ")</f>
        <v>-0.21428571428571427</v>
      </c>
      <c r="G18" s="516">
        <f>IF(ISNUMBER((Datos!N18-Datos!X18)/Datos!X18),(Datos!N18-Datos!X18)/Datos!X18," - ")</f>
        <v>-0.59677419354838712</v>
      </c>
      <c r="H18" s="514">
        <f>IF(ISNUMBER(((NºAsuntos!G18/NºAsuntos!E18)-Datos!BD18)/Datos!BD18),((NºAsuntos!G18/NºAsuntos!E18)-Datos!BD18)/Datos!BD18," - ")</f>
        <v>-0.20343137254901955</v>
      </c>
      <c r="I18" s="515">
        <f>IF(ISNUMBER(((NºAsuntos!I18/NºAsuntos!G18)-Datos!BE18)/Datos!BE18),((NºAsuntos!I18/NºAsuntos!G18)-Datos!BE18)/Datos!BE18," - ")</f>
        <v>0.29867374005305053</v>
      </c>
      <c r="J18" s="521">
        <f>IF(ISNUMBER((('Resol  Asuntos'!D18/NºAsuntos!G18)-Datos!BF18)/Datos!BF18),(('Resol  Asuntos'!D18/NºAsuntos!G18)-Datos!BF18)/Datos!BF18," - ")</f>
        <v>0.23296703296703292</v>
      </c>
      <c r="K18" s="522">
        <f>IF(ISNUMBER((((NºAsuntos!C18+NºAsuntos!E18)/NºAsuntos!G18)-Datos!BG18)/Datos!BG18),(((NºAsuntos!C18+NºAsuntos!E18)/NºAsuntos!G18)-Datos!BG18)/Datos!BG18," - ")</f>
        <v>0.10826923076923081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0.19821605550049554</v>
      </c>
      <c r="C23" s="1152">
        <f>IF(ISNUMBER(
   IF(Criterios!B14="SI",(Datos!J23-Datos!T23)/Datos!T23,(Datos!J23+Datos!AD23-(Datos!T23+Datos!AL23))/(Datos!T23+Datos!AL23))
     ),IF(Criterios!B14="SI",(Datos!J23-Datos!T23)/Datos!T23,(Datos!J23+Datos!AD23-(Datos!T23+Datos!AL23))/(Datos!T23+Datos!AL23))," - ")</f>
        <v>6.8654019873532063E-2</v>
      </c>
      <c r="D23" s="1152">
        <f>IF(ISNUMBER(
   IF(Criterios!B14="SI",(Datos!K23-Datos!U23)/Datos!U23,(Datos!K23+Datos!AE23-(Datos!U23+Datos!AM23))/(Datos!U23+Datos!AM23))
     ),IF(Criterios!B14="SI",(Datos!K23-Datos!U23)/Datos!U23,(Datos!K23+Datos!AE23-(Datos!U23+Datos!AM23))/(Datos!U23+Datos!AM23))," - ")</f>
        <v>8.3257090576395243E-2</v>
      </c>
      <c r="E23" s="1152">
        <f>IF(ISNUMBER(
   IF(Criterios!B14="SI",(Datos!L23-Datos!V23)/Datos!V23,(Datos!L23+Datos!AF23-(Datos!V23+Datos!AN23))/(Datos!V23+Datos!AN23))
     ),IF(Criterios!B14="SI",(Datos!L23-Datos!V23)/Datos!V23,(Datos!L23+Datos!AF23-(Datos!V23+Datos!AN23))/(Datos!V23+Datos!AN23))," - ")</f>
        <v>0.17562380038387715</v>
      </c>
      <c r="F23" s="1153">
        <f>IF(ISNUMBER((Datos!M23-Datos!W23)/Datos!W23),(Datos!M23-Datos!W23)/Datos!W23," - ")</f>
        <v>0.16393442622950818</v>
      </c>
      <c r="G23" s="1154">
        <f>IF(ISNUMBER((Datos!N23-Datos!X23)/Datos!X23),(Datos!N23-Datos!X23)/Datos!X23," - ")</f>
        <v>-9.3442622950819676E-2</v>
      </c>
      <c r="H23" s="1154">
        <f>IF(ISNUMBER(((NºAsuntos!G23/NºAsuntos!E23)-Datos!BD23)/Datos!BD23),((NºAsuntos!G23/NºAsuntos!E23)-Datos!BD23)/Datos!BD23," - ")</f>
        <v>1.3664919076981988E-2</v>
      </c>
      <c r="I23" s="1154">
        <f>IF(ISNUMBER(((NºAsuntos!I23/NºAsuntos!G23)-Datos!BE23)/Datos!BE23),((NºAsuntos!I23/NºAsuntos!G23)-Datos!BE23)/Datos!BE23," - ")</f>
        <v>8.5267579239508187E-2</v>
      </c>
      <c r="J23" s="1154">
        <f>IF(ISNUMBER((('Resol  Asuntos'!D23/NºAsuntos!G23)-Datos!BF23)/Datos!BF23),(('Resol  Asuntos'!D23/NºAsuntos!G23)-Datos!BF23)/Datos!BF23," - ")</f>
        <v>7.447662826761195E-2</v>
      </c>
      <c r="K23" s="1154">
        <f>IF(ISNUMBER((((NºAsuntos!C23+NºAsuntos!E23)/NºAsuntos!G23)-Datos!BG23)/Datos!BG23),(((NºAsuntos!C23+NºAsuntos!E23)/NºAsuntos!G23)-Datos!BG23)/Datos!BG23," - ")</f>
        <v>4.3551703877790816E-2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0.10518731988472622</v>
      </c>
      <c r="C31" s="1092">
        <f>IF(ISNUMBER(
   IF(J_V="SI",(Datos!J31-Datos!T31)/Datos!T31,(Datos!J31+Datos!Z31-(Datos!T31+Datos!AH31))/(Datos!T31+Datos!AH31))
     ),IF(J_V="SI",(Datos!J31-Datos!T31)/Datos!T31,(Datos!J31+Datos!Z31-(Datos!T31+Datos!AH31))/(Datos!T31+Datos!AH31))," - ")</f>
        <v>1.582815149802148E-2</v>
      </c>
      <c r="D31" s="1092">
        <f>IF(ISNUMBER(
   IF(J_V="SI",(Datos!K31-Datos!U31)/Datos!U31,(Datos!K31+Datos!AA31-(Datos!U31+Datos!AI31))/(Datos!U31+Datos!AI31))
     ),IF(J_V="SI",(Datos!K31-Datos!U31)/Datos!U31,(Datos!K31+Datos!AA31-(Datos!U31+Datos!AI31))/(Datos!U31+Datos!AI31))," - ")</f>
        <v>3.4282393957001743E-2</v>
      </c>
      <c r="E31" s="1092">
        <f>IF(ISNUMBER(
   IF(J_V="SI",(Datos!L31-Datos!V31)/Datos!V31,(Datos!L31+Datos!AB31-(Datos!V31+Datos!AJ31))/(Datos!V31+Datos!AJ31))
     ),IF(J_V="SI",(Datos!L31-Datos!V31)/Datos!V31,(Datos!L31+Datos!AB31-(Datos!V31+Datos!AJ31))/(Datos!V31+Datos!AJ31))," - ")</f>
        <v>8.6551884597487208E-2</v>
      </c>
      <c r="F31" s="1093">
        <f>IF(ISNUMBER((Datos!M31-Datos!W31)/Datos!W31),(Datos!M31-Datos!W31)/Datos!W31," - ")</f>
        <v>-4.7244094488188976E-2</v>
      </c>
      <c r="G31" s="1094">
        <f>IF(ISNUMBER((Datos!N31-Datos!X31)/Datos!X31),(Datos!N31-Datos!X31)/Datos!X31," - ")</f>
        <v>-0.13995215311004786</v>
      </c>
      <c r="H31" s="1095">
        <f>IF(ISNUMBER((Tasas!B31-Datos!BD31)/Datos!BD31),(Tasas!B31-Datos!BD31)/Datos!BD31," - ")</f>
        <v>1.8166697223114089E-2</v>
      </c>
      <c r="I31" s="1096">
        <f>IF(ISNUMBER((Tasas!C31-Datos!BE31)/Datos!BE31),(Tasas!C31-Datos!BE31)/Datos!BE31," - ")</f>
        <v>5.0536962579930039E-2</v>
      </c>
      <c r="J31" s="1097">
        <f>IF(ISNUMBER((Tasas!D31-Datos!BF31)/Datos!BF31),(Tasas!D31-Datos!BF31)/Datos!BF31," - ")</f>
        <v>-0.15019860162690093</v>
      </c>
      <c r="K31" s="1097">
        <f>IF(ISNUMBER((Tasas!E31-Datos!BG31)/Datos!BG31),(Tasas!E31-Datos!BG31)/Datos!BG31," - ")</f>
        <v>2.8867155473990398E-2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9B0ggi3siTgRrZs+AR7278u7PPZccb+dkgH+E3nSUxW+A9PYYO/v1LncxsWqJR+nOc7lYXyzxRku6V0buoxHg==" saltValue="R5GPM3H4InUOnT0WBBEm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IRUN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13</v>
      </c>
      <c r="D10" s="499">
        <f>IF(ISNUMBER('Resol  Asuntos'!D10/NºAsuntos!G10),'Resol  Asuntos'!D10/NºAsuntos!G10," - ")</f>
        <v>1</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0.97217675941080195</v>
      </c>
      <c r="C12" s="498">
        <f>IF(ISNUMBER(NºAsuntos!I12/NºAsuntos!G12),NºAsuntos!I12/NºAsuntos!G12," - ")</f>
        <v>1.8249158249158248</v>
      </c>
      <c r="D12" s="499">
        <f>IF(ISNUMBER('Resol  Asuntos'!D12/NºAsuntos!G12),'Resol  Asuntos'!D12/NºAsuntos!G12," - ")</f>
        <v>0.24915824915824916</v>
      </c>
      <c r="E12" s="500">
        <f>IF(ISNUMBER((NºAsuntos!C12+NºAsuntos!E12)/NºAsuntos!G12),(NºAsuntos!C12+NºAsuntos!E12)/NºAsuntos!G12," - ")</f>
        <v>2.8249158249158248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0.97068403908794787</v>
      </c>
      <c r="C14" s="1156">
        <f>IF(ISNUMBER(NºAsuntos!I14/NºAsuntos!G14),NºAsuntos!I14/NºAsuntos!G14," - ")</f>
        <v>1.8624161073825503</v>
      </c>
      <c r="D14" s="1157">
        <f>IF(ISNUMBER('Resol  Asuntos'!D14/NºAsuntos!G14),'Resol  Asuntos'!D14/NºAsuntos!G14," - ")</f>
        <v>0.25167785234899331</v>
      </c>
      <c r="E14" s="1158">
        <f>IF(ISNUMBER((NºAsuntos!C14+NºAsuntos!E14)/NºAsuntos!G14),(NºAsuntos!C14+NºAsuntos!E14)/NºAsuntos!G14," - ")</f>
        <v>2.8624161073825505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1.0518319928507596</v>
      </c>
      <c r="D17" s="499">
        <f>IF(ISNUMBER('Resol  Asuntos'!D17/NºAsuntos!G17),'Resol  Asuntos'!D17/NºAsuntos!G17," - ")</f>
        <v>0.18051831992850759</v>
      </c>
      <c r="E17" s="500">
        <f>IF(ISNUMBER((NºAsuntos!C17+NºAsuntos!E17)/NºAsuntos!G17),(NºAsuntos!C17+NºAsuntos!E17)/NºAsuntos!G17," - ")</f>
        <v>2.0366398570151922</v>
      </c>
      <c r="G17" s="523"/>
    </row>
    <row r="18" spans="1:7">
      <c r="A18" s="450" t="str">
        <f>Datos!A18</f>
        <v>Jdos. Violencia contra la mujer</v>
      </c>
      <c r="B18" s="497">
        <f>IF(ISNUMBER(NºAsuntos!G18/NºAsuntos!E18),NºAsuntos!G18/NºAsuntos!E18," - ")</f>
        <v>1.015625</v>
      </c>
      <c r="C18" s="498">
        <f>IF(ISNUMBER(NºAsuntos!I18/NºAsuntos!G18),NºAsuntos!I18/NºAsuntos!G18," - ")</f>
        <v>0.7384615384615385</v>
      </c>
      <c r="D18" s="499">
        <f>IF(ISNUMBER('Resol  Asuntos'!D18/NºAsuntos!G18),'Resol  Asuntos'!D18/NºAsuntos!G18," - ")</f>
        <v>0.16923076923076924</v>
      </c>
      <c r="E18" s="500">
        <f>IF(ISNUMBER((NºAsuntos!C18+NºAsuntos!E18)/NºAsuntos!G18),(NºAsuntos!C18+NºAsuntos!E18)/NºAsuntos!G18," - ")</f>
        <v>1.7384615384615385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1.0008453085376163</v>
      </c>
      <c r="C23" s="1156">
        <f>IF(ISNUMBER(NºAsuntos!I23/NºAsuntos!G23),NºAsuntos!I23/NºAsuntos!G23," - ")</f>
        <v>1.0346283783783783</v>
      </c>
      <c r="D23" s="1159">
        <f>IF(ISNUMBER('Resol  Asuntos'!D23/NºAsuntos!G23),'Resol  Asuntos'!D23/NºAsuntos!G23," - ")</f>
        <v>0.17989864864864866</v>
      </c>
      <c r="E23" s="1158">
        <f>IF(ISNUMBER((NºAsuntos!C23+NºAsuntos!E23)/NºAsuntos!G23),(NºAsuntos!C23+NºAsuntos!E23)/NºAsuntos!G23," - ")</f>
        <v>2.0202702702702702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0.99053978853644964</v>
      </c>
      <c r="C31" s="1099">
        <f>IF(ISNUMBER(NºAsuntos!I31/NºAsuntos!G31),NºAsuntos!I31/NºAsuntos!G31," - ")</f>
        <v>1.3117977528089888</v>
      </c>
      <c r="D31" s="1100">
        <f>IF(ISNUMBER('Resol  Asuntos'!D31/NºAsuntos!G31),'Resol  Asuntos'!D31/NºAsuntos!G31," - ")</f>
        <v>0.20393258426966293</v>
      </c>
      <c r="E31" s="1101">
        <f>IF(ISNUMBER((NºAsuntos!C31+NºAsuntos!E31)/NºAsuntos!G31),(NºAsuntos!C31+NºAsuntos!E31)/NºAsuntos!G31," - ")</f>
        <v>2.3022471910112361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MAD6u2zwxSoU/CaN8RhXvy5U4EVomRIf3ZYlST/Ub4pdUPg8S0iwF/7zaYPBWCa8alqnTdlLdd2k7Q6Bmd5jQ==" saltValue="U98Dj5A9H4ixi76QX9Qp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IRUN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26</v>
      </c>
      <c r="AB10" s="374">
        <f>IF(ISNUMBER(Datos!R10),Datos!R10," - ")</f>
        <v>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39</v>
      </c>
      <c r="AN10" s="267">
        <f>IF(ISNUMBER('Resol  Asuntos'!D10/NºAsuntos!G10),'Resol  Asuntos'!D10/NºAsuntos!G10," - ")</f>
        <v>1</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292</v>
      </c>
      <c r="Y12" s="374">
        <f t="shared" si="0"/>
        <v>292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148</v>
      </c>
      <c r="AJ12" s="243" t="str">
        <f>IF(ISNUMBER(Datos!BW12),Datos!BW12," - ")</f>
        <v xml:space="preserve"> - </v>
      </c>
      <c r="AK12" s="242" t="str">
        <f>IF(ISNUMBER(Datos!BX12),Datos!BX12," - ")</f>
        <v xml:space="preserve"> - </v>
      </c>
      <c r="AL12" s="266">
        <f>IF(ISNUMBER(NºAsuntos!G12/NºAsuntos!E12),NºAsuntos!G12/NºAsuntos!E12," - ")</f>
        <v>0.97217675941080195</v>
      </c>
      <c r="AM12" s="284">
        <f>IF(ISNUMBER(((NºAsuntos!I12/NºAsuntos!G12)*11)/factor_trimestre),((NºAsuntos!I12/NºAsuntos!G12)*11)/factor_trimestre," - ")</f>
        <v>5.4747474747474749</v>
      </c>
      <c r="AN12" s="267">
        <f>IF(ISNUMBER('Resol  Asuntos'!D12/NºAsuntos!G12),'Resol  Asuntos'!D12/NºAsuntos!G12," - ")</f>
        <v>0.24915824915824916</v>
      </c>
      <c r="AO12" s="268">
        <f>IF(ISNUMBER((NºAsuntos!C12+NºAsuntos!E12)/NºAsuntos!G12),(NºAsuntos!C12+NºAsuntos!E12)/NºAsuntos!G12," - ")</f>
        <v>2.8249158249158248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25</v>
      </c>
      <c r="G14" s="1163">
        <f t="shared" si="5"/>
        <v>25</v>
      </c>
      <c r="H14" s="1162">
        <f t="shared" si="5"/>
        <v>0</v>
      </c>
      <c r="I14" s="1164">
        <f t="shared" si="5"/>
        <v>0</v>
      </c>
      <c r="J14" s="1164">
        <f t="shared" si="5"/>
        <v>0</v>
      </c>
      <c r="K14" s="1164">
        <f t="shared" si="5"/>
        <v>0</v>
      </c>
      <c r="L14" s="1164">
        <f t="shared" si="5"/>
        <v>132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292</v>
      </c>
      <c r="Y14" s="1165">
        <f t="shared" si="6"/>
        <v>294</v>
      </c>
      <c r="Z14" s="1165">
        <f t="shared" si="6"/>
        <v>0</v>
      </c>
      <c r="AA14" s="1165">
        <f t="shared" si="6"/>
        <v>26</v>
      </c>
      <c r="AB14" s="1165">
        <f t="shared" si="6"/>
        <v>1261</v>
      </c>
      <c r="AC14" s="1165">
        <f t="shared" si="6"/>
        <v>26</v>
      </c>
      <c r="AD14" s="1165">
        <f t="shared" si="6"/>
        <v>0</v>
      </c>
      <c r="AE14" s="1169">
        <f t="shared" si="6"/>
        <v>0</v>
      </c>
      <c r="AF14" s="1162">
        <f t="shared" si="6"/>
        <v>0</v>
      </c>
      <c r="AG14" s="1170">
        <f t="shared" si="6"/>
        <v>0</v>
      </c>
      <c r="AH14" s="1167">
        <f t="shared" si="6"/>
        <v>0</v>
      </c>
      <c r="AI14" s="1162">
        <f t="shared" si="6"/>
        <v>150</v>
      </c>
      <c r="AJ14" s="1164">
        <f t="shared" si="6"/>
        <v>0</v>
      </c>
      <c r="AK14" s="1167">
        <f>SUBTOTAL(9,AK9:AK13)</f>
        <v>0</v>
      </c>
      <c r="AL14" s="1171">
        <f>IF(ISNUMBER(NºAsuntos!G14/NºAsuntos!E14),NºAsuntos!G14/NºAsuntos!E14," - ")</f>
        <v>0.97068403908794787</v>
      </c>
      <c r="AM14" s="1171">
        <f>IF(ISNUMBER(((NºAsuntos!I14/NºAsuntos!G14)*11)/factor_trimestre),((NºAsuntos!I14/NºAsuntos!G14)*11)/factor_trimestre," - ")</f>
        <v>5.5872483221476505</v>
      </c>
      <c r="AN14" s="1172">
        <f>IF(ISNUMBER('Resol  Asuntos'!D14/NºAsuntos!G14),'Resol  Asuntos'!D14/NºAsuntos!G14," - ")</f>
        <v>0.25167785234899331</v>
      </c>
      <c r="AO14" s="1173">
        <f>IF(ISNUMBER((NºAsuntos!C14+NºAsuntos!E14)/NºAsuntos!G14),(NºAsuntos!C14+NºAsuntos!E14)/NºAsuntos!G14," - ")</f>
        <v>2.8624161073825505</v>
      </c>
      <c r="AP14" s="1174" t="str">
        <f t="shared" si="2"/>
        <v xml:space="preserve"> - </v>
      </c>
      <c r="AQ14" s="1174">
        <f>IF(ISNUMBER((H14-W14+K14)/(F14)),(H14-W14+K14)/(F14)," - ")</f>
        <v>-0.08</v>
      </c>
      <c r="AR14" s="1175">
        <f>IF(ISNUMBER((Datos!P14-Datos!Q14)/(Datos!R14-Datos!P14+Datos!Q14)),(Datos!P14-Datos!Q14)/(Datos!R14-Datos!P14+Datos!Q14)," - ")</f>
        <v>-0.11259676284306826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1177</v>
      </c>
      <c r="G17" s="373">
        <f>IF(ISNUMBER(IF(D_I="SI",Datos!I17,Datos!I17+Datos!AC17)),IF(D_I="SI",Datos!I17,Datos!I17+Datos!AC17)," - ")</f>
        <v>1160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1119</v>
      </c>
      <c r="X17" s="240">
        <f>IF(ISNUMBER(Datos!Q17),Datos!Q17," - ")</f>
        <v>19</v>
      </c>
      <c r="Y17" s="374">
        <f t="shared" ref="Y17:Y22" si="9">SUM(W17:X17)</f>
        <v>1138</v>
      </c>
      <c r="Z17" s="375" t="str">
        <f>IF(ISNUMBER(Datos!CC17),Datos!CC17," - ")</f>
        <v xml:space="preserve"> - </v>
      </c>
      <c r="AA17" s="372">
        <f>IF(ISNUMBER(IF(D_I="SI",Datos!L17,Datos!L17+Datos!AF17)),IF(D_I="SI",Datos!L17,Datos!L17+Datos!AF17)," - ")</f>
        <v>1177</v>
      </c>
      <c r="AB17" s="374">
        <f>IF(ISNUMBER(Datos!R17),Datos!R17," - ")</f>
        <v>195</v>
      </c>
      <c r="AC17" s="374">
        <f t="shared" si="8"/>
        <v>1372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202</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3.1554959785522789</v>
      </c>
      <c r="AN17" s="267">
        <f>IF(ISNUMBER('Resol  Asuntos'!D17/NºAsuntos!G17),'Resol  Asuntos'!D17/NºAsuntos!G17," - ")</f>
        <v>0.18051831992850759</v>
      </c>
      <c r="AO17" s="268">
        <f>IF(ISNUMBER((NºAsuntos!C17+NºAsuntos!E17)/NºAsuntos!G17),(NºAsuntos!C17+NºAsuntos!E17)/NºAsuntos!G17," - ")</f>
        <v>2.0366398570151922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65</v>
      </c>
      <c r="X18" s="240">
        <f>IF(ISNUMBER(Datos!Q18),Datos!Q18," - ")</f>
        <v>0</v>
      </c>
      <c r="Y18" s="374">
        <f t="shared" si="9"/>
        <v>65</v>
      </c>
      <c r="Z18" s="375" t="str">
        <f>IF(ISNUMBER(Datos!CC18),Datos!CC18," - ")</f>
        <v xml:space="preserve"> - </v>
      </c>
      <c r="AA18" s="372">
        <f>IF(ISNUMBER(Datos!L18),Datos!L18,"-")</f>
        <v>48</v>
      </c>
      <c r="AB18" s="374">
        <f>IF(ISNUMBER(Datos!R18),Datos!R18," - ")</f>
        <v>0</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1.015625</v>
      </c>
      <c r="AM18" s="284">
        <f>IF(ISNUMBER(((NºAsuntos!I18/NºAsuntos!G18)*11)/factor_trimestre),((NºAsuntos!I18/NºAsuntos!G18)*11)/factor_trimestre," - ")</f>
        <v>2.2153846153846155</v>
      </c>
      <c r="AN18" s="267">
        <f>IF(ISNUMBER('Resol  Asuntos'!D18/NºAsuntos!G18),'Resol  Asuntos'!D18/NºAsuntos!G18," - ")</f>
        <v>0.16923076923076924</v>
      </c>
      <c r="AO18" s="268">
        <f>IF(ISNUMBER((NºAsuntos!C18+NºAsuntos!E18)/NºAsuntos!G18),(NºAsuntos!C18+NºAsuntos!E18)/NºAsuntos!G18," - ")</f>
        <v>1.7384615384615385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1177</v>
      </c>
      <c r="G23" s="1163">
        <f>SUBTOTAL(9,G16:G22)</f>
        <v>1209</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1184</v>
      </c>
      <c r="X23" s="1164">
        <f t="shared" si="14"/>
        <v>19</v>
      </c>
      <c r="Y23" s="1165">
        <f t="shared" si="14"/>
        <v>1203</v>
      </c>
      <c r="Z23" s="1165">
        <f t="shared" si="14"/>
        <v>0</v>
      </c>
      <c r="AA23" s="1165">
        <f t="shared" si="14"/>
        <v>1225</v>
      </c>
      <c r="AB23" s="1165">
        <f t="shared" si="14"/>
        <v>195</v>
      </c>
      <c r="AC23" s="1165">
        <f t="shared" si="14"/>
        <v>1420</v>
      </c>
      <c r="AD23" s="1165">
        <f t="shared" si="14"/>
        <v>0</v>
      </c>
      <c r="AE23" s="1169">
        <f t="shared" si="14"/>
        <v>0</v>
      </c>
      <c r="AF23" s="1162">
        <f t="shared" si="14"/>
        <v>0</v>
      </c>
      <c r="AG23" s="1170">
        <f t="shared" si="14"/>
        <v>0</v>
      </c>
      <c r="AH23" s="1167">
        <f t="shared" si="14"/>
        <v>0</v>
      </c>
      <c r="AI23" s="1162">
        <f t="shared" si="14"/>
        <v>213</v>
      </c>
      <c r="AJ23" s="1164">
        <f t="shared" si="14"/>
        <v>0</v>
      </c>
      <c r="AK23" s="1167">
        <f t="shared" si="14"/>
        <v>0</v>
      </c>
      <c r="AL23" s="1171">
        <f>IF(ISNUMBER(NºAsuntos!G23/NºAsuntos!E23),NºAsuntos!G23/NºAsuntos!E23," - ")</f>
        <v>1.0008453085376163</v>
      </c>
      <c r="AM23" s="1171">
        <f>IF(ISNUMBER(((NºAsuntos!I23/NºAsuntos!G23)*11)/factor_trimestre),((NºAsuntos!I23/NºAsuntos!G23)*11)/factor_trimestre," - ")</f>
        <v>3.1038851351351351</v>
      </c>
      <c r="AN23" s="1172">
        <f>IF(ISNUMBER('Resol  Asuntos'!D23/NºAsuntos!G23),'Resol  Asuntos'!D23/NºAsuntos!G23," - ")</f>
        <v>0.17989864864864866</v>
      </c>
      <c r="AO23" s="1173">
        <f>IF(ISNUMBER((NºAsuntos!C23+NºAsuntos!E23)/NºAsuntos!G23),(NºAsuntos!C23+NºAsuntos!E23)/NºAsuntos!G23," - ")</f>
        <v>2.0202702702702702</v>
      </c>
      <c r="AP23" s="1174" t="str">
        <f t="shared" si="2"/>
        <v xml:space="preserve"> - </v>
      </c>
      <c r="AQ23" s="1174">
        <f>IF(ISNUMBER((H23-W23+K23)/(F23)),(H23-W23+K23)/(F23)," - ")</f>
        <v>-1.005947323704333</v>
      </c>
      <c r="AR23" s="1175">
        <f>IF(ISNUMBER((Datos!P23-Datos!Q23)/(Datos!R23-Datos!P23+Datos!Q23)),(Datos!P23-Datos!Q23)/(Datos!R23-Datos!P23+Datos!Q23)," - ")</f>
        <v>0.21118012422360249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1202</v>
      </c>
      <c r="G31" s="1118">
        <f t="shared" si="20"/>
        <v>1234</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1186</v>
      </c>
      <c r="X31" s="1118">
        <f t="shared" si="21"/>
        <v>311</v>
      </c>
      <c r="Y31" s="1125">
        <f t="shared" si="21"/>
        <v>1497</v>
      </c>
      <c r="Z31" s="1125">
        <f t="shared" si="21"/>
        <v>0</v>
      </c>
      <c r="AA31" s="1125">
        <f t="shared" si="21"/>
        <v>1251</v>
      </c>
      <c r="AB31" s="1125">
        <f t="shared" si="21"/>
        <v>1456</v>
      </c>
      <c r="AC31" s="1125">
        <f t="shared" si="21"/>
        <v>1446</v>
      </c>
      <c r="AD31" s="1125">
        <f t="shared" si="21"/>
        <v>0</v>
      </c>
      <c r="AE31" s="1127">
        <f t="shared" si="21"/>
        <v>0</v>
      </c>
      <c r="AF31" s="1128">
        <f t="shared" si="21"/>
        <v>0</v>
      </c>
      <c r="AG31" s="1129">
        <f t="shared" si="21"/>
        <v>0</v>
      </c>
      <c r="AH31" s="1127">
        <f t="shared" si="21"/>
        <v>0</v>
      </c>
      <c r="AI31" s="1117">
        <f t="shared" si="21"/>
        <v>363</v>
      </c>
      <c r="AJ31" s="1117">
        <f t="shared" si="21"/>
        <v>0</v>
      </c>
      <c r="AK31" s="1127">
        <f t="shared" si="21"/>
        <v>0</v>
      </c>
      <c r="AL31" s="1183">
        <f>IF(ISNUMBER(NºAsuntos!G31/NºAsuntos!E31),NºAsuntos!G31/NºAsuntos!E31," - ")</f>
        <v>0.99053978853644964</v>
      </c>
      <c r="AM31" s="1184">
        <f>IF(ISNUMBER(((NºAsuntos!I31/NºAsuntos!G31)*11)/factor_trimestre),((NºAsuntos!I31/NºAsuntos!G31)*11)/factor_trimestre," - ")</f>
        <v>3.9353932584269664</v>
      </c>
      <c r="AN31" s="1184">
        <f>IF(ISNUMBER('Resol  Asuntos'!D31/NºAsuntos!G31),'Resol  Asuntos'!D31/NºAsuntos!G31," - ")</f>
        <v>0.20393258426966293</v>
      </c>
      <c r="AO31" s="1185">
        <f>IF(ISNUMBER((NºAsuntos!C31+NºAsuntos!E31)/NºAsuntos!G31),(NºAsuntos!C31+NºAsuntos!E31)/NºAsuntos!G31," - ")</f>
        <v>2.3022471910112361</v>
      </c>
      <c r="AP31" s="1186" t="str">
        <f t="shared" si="2"/>
        <v xml:space="preserve"> - </v>
      </c>
      <c r="AQ31" s="1187">
        <f>IF(OR(ISNUMBER(FIND("01",Criterios!A8,1)),ISNUMBER(FIND("02",Criterios!A8,1)),ISNUMBER(FIND("03",Criterios!A8,1)),ISNUMBER(FIND("04",Criterios!A8,1))),(I31-W31+K31)/(F31-K31),(H31-W31+K31)/(F31-K31))</f>
        <v>-0.98668885191347755</v>
      </c>
      <c r="AR31" s="1188">
        <f>IF(ISNUMBER((Datos!P31-Datos!Q31)/(Datos!R31-Datos!P31+Datos!Q31)),(Datos!P31-Datos!Q31)/(Datos!R31-Datos!P31+Datos!Q31)," - ")</f>
        <v>-7.9646017699115043E-2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601.44913888596329</v>
      </c>
      <c r="G33" s="277">
        <f>IF(ISNUMBER(STDEV(G8:G30)),STDEV(G8:G30),"-")</f>
        <v>568.73920711894459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555.94976648717363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96.227038077366061</v>
      </c>
      <c r="AJ33" s="276">
        <f t="shared" si="25"/>
        <v>0</v>
      </c>
      <c r="AK33" s="278">
        <f t="shared" si="25"/>
        <v>0</v>
      </c>
      <c r="AL33" s="273">
        <f t="shared" si="25"/>
        <v>0.13392279891878262</v>
      </c>
      <c r="AM33" s="274">
        <f t="shared" si="25"/>
        <v>14.391645601050119</v>
      </c>
      <c r="AN33" s="274">
        <f t="shared" si="25"/>
        <v>0.32614932522893675</v>
      </c>
      <c r="AO33" s="275">
        <f t="shared" si="25"/>
        <v>4.7999414025212426</v>
      </c>
      <c r="AP33" s="317" t="str">
        <f t="shared" si="25"/>
        <v>-</v>
      </c>
      <c r="AQ33" s="318">
        <f t="shared" si="25"/>
        <v>0.65474363161286908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VgdYiBZHSlq8veMTcf/QlDNpoe74L9mAMbQ/q5G5ELlTMSdgLgzKTFFWHvKBj+0BCga5zTVwaz+hgaW4uW5Q==" saltValue="qXK6kOg+3lM3wjuVjnec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IRUN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0.92307692307692313</v>
      </c>
      <c r="E10" s="393">
        <f>IF(ISNUMBER((Datos!J10-Datos!T10)/Datos!T10),(Datos!J10-Datos!T10)/Datos!T10," - ")</f>
        <v>0.5</v>
      </c>
      <c r="F10" s="393">
        <f>IF(ISNUMBER((Datos!K10-Datos!U10)/Datos!U10),(Datos!K10-Datos!U10)/Datos!U10," - ")</f>
        <v>-0.5</v>
      </c>
      <c r="G10" s="394">
        <f>IF(ISNUMBER((Datos!L10-Datos!V10)/Datos!V10),(Datos!L10-Datos!V10)/Datos!V10," - ")</f>
        <v>1.3636363636363635</v>
      </c>
      <c r="H10" s="244">
        <f>IF(ISNUMBER((Datos!M10-Datos!W10)/Datos!W10),(Datos!M10-Datos!W10)/Datos!W10," - ")</f>
        <v>-0.5</v>
      </c>
      <c r="I10" s="395">
        <f>IF(ISNUMBER((Tasas!C10-Datos!BE10)/Datos!BE10),(Tasas!C10-Datos!BE10)/Datos!BE10," - ")</f>
        <v>3.7272727272727271</v>
      </c>
      <c r="J10" s="394">
        <f>IF(ISNUMBER((Tasas!D10-Datos!BF10)/Datos!BF10),(Tasas!D10-Datos!BF10)/Datos!BF10," - ")</f>
        <v>0</v>
      </c>
      <c r="K10" s="396">
        <f>IF(ISNUMBER((Tasas!E10-Datos!BG10)/Datos!BG10),(Tasas!E10-Datos!BG10)/Datos!BG10," - ")</f>
        <v>2.7333333333333334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-0.23711340206185566</v>
      </c>
      <c r="I12" s="395">
        <f>IF(ISNUMBER((Tasas!C12-Datos!BE12)/Datos!BE12),(Tasas!C12-Datos!BE12)/Datos!BE12," - ")</f>
        <v>3.9003170390031663E-2</v>
      </c>
      <c r="J12" s="394">
        <f>IF(ISNUMBER((Tasas!D12-Datos!BF12)/Datos!BF12),(Tasas!D12-Datos!BF12)/Datos!BF12," - ")</f>
        <v>-0.31205863949226781</v>
      </c>
      <c r="K12" s="396">
        <f>IF(ISNUMBER((Tasas!E12-Datos!BG12)/Datos!BG12),(Tasas!E12-Datos!BG12)/Datos!BG12," - ")</f>
        <v>2.485318299271785E-2</v>
      </c>
      <c r="M12" t="e">
        <f>IF(Monitorios="SI",Datos!CE12,0)</f>
        <v>#REF!</v>
      </c>
      <c r="N12" t="e">
        <f>IF(Monitorios="SI",Datos!CF12,0)</f>
        <v>#REF!</v>
      </c>
      <c r="O12" t="e">
        <f>IF(Monitorios="SI",Datos!CG12,0)</f>
        <v>#REF!</v>
      </c>
      <c r="P12" t="e">
        <f>IF(Monitorios="SI",Datos!CH12,0)</f>
        <v>#REF!</v>
      </c>
      <c r="Q12">
        <f>IF(J_V="SI",0,Datos!AG12)</f>
        <v>53</v>
      </c>
      <c r="R12">
        <f>IF(J_V="SI",0,Datos!AH12)</f>
        <v>100</v>
      </c>
      <c r="S12">
        <f>IF(J_V="SI",0,Datos!AI12)</f>
        <v>66</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-0.24242424242424243</v>
      </c>
      <c r="I14" s="402">
        <f>IF(ISNUMBER((Tasas!C14-Datos!BE14)/Datos!BE14),(Tasas!C14-Datos!BE14)/Datos!BE14," - ")</f>
        <v>5.6546807078808999E-2</v>
      </c>
      <c r="J14" s="400">
        <f>IF(ISNUMBER((Tasas!D14-Datos!BF14)/Datos!BF14),(Tasas!D14-Datos!BF14)/Datos!BF14," - ")</f>
        <v>-0.31281003793405299</v>
      </c>
      <c r="K14" s="403">
        <f>IF(ISNUMBER((Tasas!E14-Datos!BG14)/Datos!BG14),(Tasas!E14-Datos!BG14)/Datos!BG14," - ")</f>
        <v>3.607914434365516E-2</v>
      </c>
      <c r="M14" t="e">
        <f>IF(Monitorios="SI",Datos!CE14,0)</f>
        <v>#REF!</v>
      </c>
      <c r="N14" t="e">
        <f>IF(Monitorios="SI",Datos!CF14,0)</f>
        <v>#REF!</v>
      </c>
      <c r="O14" t="e">
        <f>IF(Monitorios="SI",Datos!CG14,0)</f>
        <v>#REF!</v>
      </c>
      <c r="P14" t="e">
        <f>IF(Monitorios="SI",Datos!CH14,0)</f>
        <v>#REF!</v>
      </c>
      <c r="Q14">
        <f>IF(J_V="SI",0,Datos!AG14)</f>
        <v>53</v>
      </c>
      <c r="R14">
        <f>IF(J_V="SI",0,Datos!AH14)</f>
        <v>100</v>
      </c>
      <c r="S14">
        <f>IF(J_V="SI",0,Datos!AI14)</f>
        <v>66</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0.24865446716899892</v>
      </c>
      <c r="E17" s="393">
        <f>IF(ISNUMBER(
   IF(D_I="SI",(Datos!J17-Datos!T17)/Datos!T17,(Datos!J17+Datos!AD17-(Datos!T17+Datos!AL17))/(Datos!T17+Datos!AL17))
     ),IF(D_I="SI",(Datos!J17-Datos!T17)/Datos!T17,(Datos!J17+Datos!AD17-(Datos!T17+Datos!AL17))/(Datos!T17+Datos!AL17))," - ")</f>
        <v>8.9581304771178191E-2</v>
      </c>
      <c r="F17" s="393">
        <f>IF(ISNUMBER(
   IF(D_I="SI",(Datos!K17-Datos!U17)/Datos!U17,(Datos!K17+Datos!AE17-(Datos!U17+Datos!AM17))/(Datos!U17+Datos!AM17))
     ),IF(D_I="SI",(Datos!K17-Datos!U17)/Datos!U17,(Datos!K17+Datos!AE17-(Datos!U17+Datos!AM17))/(Datos!U17+Datos!AM17))," - ")</f>
        <v>0.12916246215943492</v>
      </c>
      <c r="G17" s="394">
        <f>IF(ISNUMBER(
   IF(D_I="SI",(Datos!L17-Datos!V17)/Datos!V17,(Datos!L17+Datos!AF17-(Datos!V17+Datos!AN17))/(Datos!V17+Datos!AN17))
     ),IF(D_I="SI",(Datos!L17-Datos!V17)/Datos!V17,(Datos!L17+Datos!AF17-(Datos!V17+Datos!AN17))/(Datos!V17+Datos!AN17))," - ")</f>
        <v>0.19613821138211382</v>
      </c>
      <c r="H17" s="244">
        <f>IF(ISNUMBER((Datos!M17-Datos!W17)/Datos!W17),(Datos!M17-Datos!W17)/Datos!W17," - ")</f>
        <v>0.19526627218934911</v>
      </c>
      <c r="I17" s="395">
        <f>IF(ISNUMBER((Tasas!C17-Datos!BE17)/Datos!BE17),(Tasas!C17-Datos!BE17)/Datos!BE17," - ")</f>
        <v>5.9314537515348258E-2</v>
      </c>
      <c r="J17" s="394">
        <f>IF(ISNUMBER((Tasas!D17-Datos!BF17)/Datos!BF17),(Tasas!D17-Datos!BF17)/Datos!BF17," - ")</f>
        <v>5.854233756894095E-2</v>
      </c>
      <c r="K17" s="396">
        <f>IF(ISNUMBER((Tasas!E17-Datos!BG17)/Datos!BG17),(Tasas!E17-Datos!BG17)/Datos!BG17," - ")</f>
        <v>3.1855878477533454E-2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-0.38750000000000001</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-0.36274509803921567</v>
      </c>
      <c r="G18" s="394">
        <f>IF(ISNUMBER(
   IF(D_I="SI",(Datos!L18-Datos!V18)/Datos!V18,(Datos!L18+Datos!AF18-(Datos!V18+Datos!AN18))/(Datos!V18+Datos!AN18))
     ),IF(D_I="SI",(Datos!L18-Datos!V18)/Datos!V18,(Datos!L18+Datos!AF18-(Datos!V18+Datos!AN18))/(Datos!V18+Datos!AN18))," - ")</f>
        <v>-0.17241379310344829</v>
      </c>
      <c r="H18" s="244">
        <f>IF(ISNUMBER((Datos!M18-Datos!W18)/Datos!W18),(Datos!M18-Datos!W18)/Datos!W18," - ")</f>
        <v>-0.21428571428571427</v>
      </c>
      <c r="I18" s="395">
        <f>IF(ISNUMBER((Tasas!C18-Datos!BE18)/Datos!BE18),(Tasas!C18-Datos!BE18)/Datos!BE18," - ")</f>
        <v>0.29867374005305053</v>
      </c>
      <c r="J18" s="394">
        <f>IF(ISNUMBER((Tasas!D18-Datos!BF18)/Datos!BF18),(Tasas!D18-Datos!BF18)/Datos!BF18," - ")</f>
        <v>0.23296703296703292</v>
      </c>
      <c r="K18" s="396">
        <f>IF(ISNUMBER((Tasas!E18-Datos!BG18)/Datos!BG18),(Tasas!E18-Datos!BG18)/Datos!BG18," - ")</f>
        <v>0.10826923076923081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0.19821605550049554</v>
      </c>
      <c r="E23" s="399">
        <f>IF(ISNUMBER(
   IF(D_I="SI",(Datos!J23-Datos!T23)/Datos!T23,(Datos!J23+Datos!AD23-(Datos!T23+Datos!AL23))/(Datos!T23+Datos!AL23))
     ),IF(D_I="SI",(Datos!J23-Datos!T23)/Datos!T23,(Datos!J23+Datos!AD23-(Datos!T23+Datos!AL23))/(Datos!T23+Datos!AL23))," - ")</f>
        <v>6.8654019873532063E-2</v>
      </c>
      <c r="F23" s="399">
        <f>IF(ISNUMBER(
   IF(D_I="SI",(Datos!K23-Datos!U23)/Datos!U23,(Datos!K23+Datos!AE23-(Datos!U23+Datos!AM23))/(Datos!U23+Datos!AM23))
     ),IF(D_I="SI",(Datos!K23-Datos!U23)/Datos!U23,(Datos!K23+Datos!AE23-(Datos!U23+Datos!AM23))/(Datos!U23+Datos!AM23))," - ")</f>
        <v>8.3257090576395243E-2</v>
      </c>
      <c r="G23" s="400">
        <f>IF(ISNUMBER(
   IF(D_I="SI",(Datos!L23-Datos!V23)/Datos!V23,(Datos!L23+Datos!AF23-(Datos!V23+Datos!AN23))/(Datos!V23+Datos!AN23))
     ),IF(D_I="SI",(Datos!L23-Datos!V23)/Datos!V23,(Datos!L23+Datos!AF23-(Datos!V23+Datos!AN23))/(Datos!V23+Datos!AN23))," - ")</f>
        <v>0.17562380038387715</v>
      </c>
      <c r="H23" s="401">
        <f>IF(ISNUMBER((Datos!M23-Datos!W23)/Datos!W23),(Datos!M23-Datos!W23)/Datos!W23," - ")</f>
        <v>0.16393442622950818</v>
      </c>
      <c r="I23" s="402">
        <f>IF(ISNUMBER((Tasas!C23-Datos!BE23)/Datos!BE23),(Tasas!C23-Datos!BE23)/Datos!BE23," - ")</f>
        <v>8.5267579239508187E-2</v>
      </c>
      <c r="J23" s="400">
        <f>IF(ISNUMBER((Tasas!D23-Datos!BF23)/Datos!BF23),(Tasas!D23-Datos!BF23)/Datos!BF23," - ")</f>
        <v>7.447662826761195E-2</v>
      </c>
      <c r="K23" s="403">
        <f>IF(ISNUMBER((Tasas!E23-Datos!BG23)/Datos!BG23),(Tasas!E23-Datos!BG23)/Datos!BG23," - ")</f>
        <v>4.3551703877790816E-2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0.10518731988472622</v>
      </c>
      <c r="E31" s="409">
        <f>IF(ISNUMBER(
   IF(J_V="SI",(Datos!J31-Datos!T31)/Datos!T31,(Datos!J31+Datos!Z31-(Datos!T31+Datos!AH31))/(Datos!T31+Datos!AH31))
     ),IF(J_V="SI",(Datos!J31-Datos!T31)/Datos!T31,(Datos!J31+Datos!Z31-(Datos!T31+Datos!AH31))/(Datos!T31+Datos!AH31))," - ")</f>
        <v>1.582815149802148E-2</v>
      </c>
      <c r="F31" s="409">
        <f>IF(ISNUMBER(
   IF(J_V="SI",(Datos!K31-Datos!U31)/Datos!U31,(Datos!K31+Datos!AA31-(Datos!U31+Datos!AI31))/(Datos!U31+Datos!AI31))
     ),IF(J_V="SI",(Datos!K31-Datos!U31)/Datos!U31,(Datos!K31+Datos!AA31-(Datos!U31+Datos!AI31))/(Datos!U31+Datos!AI31))," - ")</f>
        <v>3.4282393957001743E-2</v>
      </c>
      <c r="G31" s="410">
        <f>IF(ISNUMBER(
   IF(J_V="SI",(Datos!L31-Datos!V31)/Datos!V31,(Datos!L31+Datos!AB31-(Datos!V31+Datos!AJ31))/(Datos!V31+Datos!AJ31))
     ),IF(J_V="SI",(Datos!L31-Datos!V31)/Datos!V31,(Datos!L31+Datos!AB31-(Datos!V31+Datos!AJ31))/(Datos!V31+Datos!AJ31))," - ")</f>
        <v>8.6551884597487208E-2</v>
      </c>
      <c r="H31" s="411">
        <f>IF(ISNUMBER((Datos!M31-Datos!W31)/Datos!W31),(Datos!M31-Datos!W31)/Datos!W31," - ")</f>
        <v>-4.7244094488188976E-2</v>
      </c>
      <c r="I31" s="408">
        <f>IF(ISNUMBER((Tasas!C31-Datos!BE31)/Datos!BE31),(Tasas!C31-Datos!BE31)/Datos!BE31," - ")</f>
        <v>5.0536962579930039E-2</v>
      </c>
      <c r="J31" s="409">
        <f>IF(ISNUMBER((Tasas!D31-Datos!BF31)/Datos!BF31),(Tasas!D31-Datos!BF31)/Datos!BF31," - ")</f>
        <v>-0.15019860162690093</v>
      </c>
      <c r="K31" s="410">
        <f>IF(ISNUMBER((Tasas!E31-Datos!BG31)/Datos!BG31),(Tasas!E31-Datos!BG31)/Datos!BG31," - ")</f>
        <v>2.8867155473990398E-2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0.53604886552907316</v>
      </c>
      <c r="E33" s="303">
        <f t="shared" si="1"/>
        <v>0.28881555903450523</v>
      </c>
      <c r="F33" s="303">
        <f t="shared" si="1"/>
        <v>0.3159471802877169</v>
      </c>
      <c r="G33" s="304">
        <f t="shared" si="1"/>
        <v>0.67027714774888769</v>
      </c>
      <c r="H33" s="310">
        <f t="shared" si="1"/>
        <v>0.26825916389245785</v>
      </c>
      <c r="I33" s="302">
        <f t="shared" si="1"/>
        <v>1.4808131437853764</v>
      </c>
      <c r="J33" s="303">
        <f t="shared" si="1"/>
        <v>0.2223997688823135</v>
      </c>
      <c r="K33" s="304">
        <f t="shared" si="1"/>
        <v>1.0963248339645355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JujwxhjaufCYP39C/xJCE/CcckoFg6Me6u3HFeSypZDUt8swkuc1zFv+FlCxh83LNxslzPBzSEB294RTT2Jqg==" saltValue="OeRcUe4qFtxed6lnKLw6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